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071" yWindow="65476" windowWidth="1513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<sst xmlns="http://schemas.openxmlformats.org/spreadsheetml/2006/main" count="228" uniqueCount="164">
  <si>
    <t>meter</t>
  </si>
  <si>
    <t>inches</t>
  </si>
  <si>
    <t>KiloMeter</t>
  </si>
  <si>
    <t>Inches</t>
  </si>
  <si>
    <t xml:space="preserve">Feet </t>
  </si>
  <si>
    <t>Miles</t>
  </si>
  <si>
    <t>per hour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</si>
  <si>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</si>
  <si>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</si>
  <si>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</si>
  <si>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</si>
  <si>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</si>
  <si>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Final </t>
  </si>
  <si>
    <t>Transaxle</t>
  </si>
  <si>
    <t>RPM's</t>
  </si>
  <si>
    <t>Wheel/Tire</t>
  </si>
  <si>
    <t>(See list below - enter name)</t>
  </si>
  <si>
    <t>(See list right side - enter number)</t>
  </si>
  <si>
    <t>Enter Selection:</t>
  </si>
  <si>
    <t>Width</t>
  </si>
  <si>
    <t>Ratio</t>
  </si>
  <si>
    <t>Rim</t>
  </si>
  <si>
    <t>Height</t>
  </si>
  <si>
    <t>Final Axle Ratio:</t>
  </si>
  <si>
    <t>Rev / Mile</t>
  </si>
  <si>
    <t>PICK:</t>
  </si>
  <si>
    <t>Tread Width</t>
  </si>
  <si>
    <t>336-1</t>
  </si>
  <si>
    <t>336-2</t>
  </si>
  <si>
    <t>www.technicalshophappy.com/index.html</t>
  </si>
  <si>
    <t>Ecsta V700</t>
  </si>
  <si>
    <t>A3S03</t>
  </si>
  <si>
    <t>Azenis</t>
  </si>
  <si>
    <t>Firestone</t>
  </si>
  <si>
    <t>Rev/Mi</t>
  </si>
  <si>
    <t xml:space="preserve">For a </t>
  </si>
  <si>
    <t>Tires</t>
  </si>
  <si>
    <t>Gear Set:</t>
  </si>
  <si>
    <t>Banks Station</t>
  </si>
  <si>
    <t>Stock Lotus</t>
  </si>
  <si>
    <t>Stock S2 Lotus</t>
  </si>
  <si>
    <t>Stock Lotus TC</t>
  </si>
  <si>
    <t>Turbo Fuego</t>
  </si>
  <si>
    <t>Misc Renault</t>
  </si>
  <si>
    <t>You enter…</t>
  </si>
  <si>
    <t>Name</t>
  </si>
  <si>
    <t>Renault NG1-002</t>
  </si>
  <si>
    <t>Renault NG1-006</t>
  </si>
  <si>
    <t>Renault NG1-003</t>
  </si>
  <si>
    <t>Banks</t>
  </si>
  <si>
    <t>Renault NG1-007</t>
  </si>
  <si>
    <t>NG3-066</t>
  </si>
  <si>
    <t>Renault 18i</t>
  </si>
  <si>
    <t>NG1-037</t>
  </si>
  <si>
    <t>Renault 1368</t>
  </si>
  <si>
    <t>NG3-067</t>
  </si>
  <si>
    <t>NG3-069</t>
  </si>
  <si>
    <t>NG3-072</t>
  </si>
  <si>
    <t>NG3-073</t>
  </si>
  <si>
    <t>Renault B297</t>
  </si>
  <si>
    <t>Renault B297/B29H</t>
  </si>
  <si>
    <t>Renault B290</t>
  </si>
  <si>
    <t>Misc Renault 1363</t>
  </si>
  <si>
    <t>Misc Renault 1345</t>
  </si>
  <si>
    <t>Misc Renault 1277, 1272</t>
  </si>
  <si>
    <t>Misc Renault 1270</t>
  </si>
  <si>
    <t>Misc Renault 1272</t>
  </si>
  <si>
    <t>Misc Renault 1277</t>
  </si>
  <si>
    <t>Misc Renault 1343, 1353</t>
  </si>
  <si>
    <t>Misc Renault 1343, 1353, 1363</t>
  </si>
  <si>
    <t>Misc Renault 1365</t>
  </si>
  <si>
    <t>Misc Renault 1366, J115</t>
  </si>
  <si>
    <t>Renault 1345,1355,1365</t>
  </si>
  <si>
    <t>Renault 1345,1355</t>
  </si>
  <si>
    <t>Misc Renault 1343, 1363, J112</t>
  </si>
  <si>
    <t>Misc Renault 1343, 1353, J112, S112</t>
  </si>
  <si>
    <t>T9</t>
  </si>
  <si>
    <t>SPC Helical Gearset</t>
  </si>
  <si>
    <t>T9-Sierra</t>
  </si>
  <si>
    <t>T9-SPC</t>
  </si>
  <si>
    <t>T9-Quaife</t>
  </si>
  <si>
    <t>4.10</t>
  </si>
  <si>
    <t>T9 w/straight cut close ratio R.T. Quaife gears</t>
  </si>
  <si>
    <t>Ford Sierra T9 Stock</t>
  </si>
  <si>
    <t>NG3-065</t>
  </si>
  <si>
    <t>2.69</t>
  </si>
  <si>
    <t>2.01</t>
  </si>
  <si>
    <t>1.59</t>
  </si>
  <si>
    <t>1.32</t>
  </si>
  <si>
    <t>1.13</t>
  </si>
  <si>
    <t>Caterham 6-speed - 6th 1:1</t>
  </si>
  <si>
    <t>T9-Cat</t>
  </si>
  <si>
    <t>Ford Sierra -Woody's Semi Close Ratio</t>
  </si>
  <si>
    <t>ACB10</t>
  </si>
  <si>
    <t>Feet</t>
  </si>
  <si>
    <t>Renault R1313 &amp; R1323 1974 Models</t>
  </si>
  <si>
    <t>NG3-047</t>
  </si>
  <si>
    <t>NG3-064</t>
  </si>
  <si>
    <t>NG3-063</t>
  </si>
  <si>
    <t>NG3-062</t>
  </si>
  <si>
    <t>NG3-045</t>
  </si>
  <si>
    <t>NG3-044</t>
  </si>
  <si>
    <t>NG3-043</t>
  </si>
  <si>
    <t>NG3-042</t>
  </si>
  <si>
    <t>NG3-039</t>
  </si>
  <si>
    <t>NG3-025</t>
  </si>
  <si>
    <t>NG3-021</t>
  </si>
  <si>
    <t>NG3-019</t>
  </si>
  <si>
    <t>NG3-020</t>
  </si>
  <si>
    <t>NG3-016</t>
  </si>
  <si>
    <t>NG3-015</t>
  </si>
  <si>
    <t>NG3-011</t>
  </si>
  <si>
    <t>NG3-010</t>
  </si>
  <si>
    <t>NG3-008</t>
  </si>
  <si>
    <t>NG3-005</t>
  </si>
  <si>
    <t>NG3-001</t>
  </si>
  <si>
    <t>NG3-000</t>
  </si>
  <si>
    <t>NG2-042</t>
  </si>
  <si>
    <t>NG2-018</t>
  </si>
  <si>
    <t>NG2-017</t>
  </si>
  <si>
    <t>NG2-000</t>
  </si>
  <si>
    <t>NG1-057</t>
  </si>
  <si>
    <t>NG1-056</t>
  </si>
  <si>
    <t>NG1-055</t>
  </si>
  <si>
    <t>NG1-054</t>
  </si>
  <si>
    <t>NG1-053</t>
  </si>
  <si>
    <t>NG1-052</t>
  </si>
  <si>
    <t>NG1-051</t>
  </si>
  <si>
    <t>NG1-048</t>
  </si>
  <si>
    <t>NG1-046</t>
  </si>
  <si>
    <t>NG1-041</t>
  </si>
  <si>
    <t>NG1-040</t>
  </si>
  <si>
    <t>NG1-034</t>
  </si>
  <si>
    <t>NG1-033</t>
  </si>
  <si>
    <t>NG1-031</t>
  </si>
  <si>
    <t>NG1-030</t>
  </si>
  <si>
    <t>NG1-029</t>
  </si>
  <si>
    <t>NG1-028</t>
  </si>
  <si>
    <t>NG1-024</t>
  </si>
  <si>
    <t>NG1-023</t>
  </si>
  <si>
    <t>NG1-022</t>
  </si>
  <si>
    <t>NG1-018</t>
  </si>
  <si>
    <t>NG1-014</t>
  </si>
  <si>
    <t>NG1-013</t>
  </si>
  <si>
    <t>NG1-012</t>
  </si>
  <si>
    <t>NG1-010</t>
  </si>
  <si>
    <t>NG1-009</t>
  </si>
  <si>
    <t>NG1-007</t>
  </si>
  <si>
    <t>NG1-006</t>
  </si>
  <si>
    <t>NG1-003</t>
  </si>
  <si>
    <t>NG1-002</t>
  </si>
  <si>
    <t>T9-New</t>
  </si>
  <si>
    <t>2.83</t>
  </si>
  <si>
    <t>3.90</t>
  </si>
  <si>
    <t>Ford Sierra -Woody's Semi Close Ratio - New Birkins</t>
  </si>
  <si>
    <t>20 x 9.5 x 13</t>
  </si>
  <si>
    <t>20 x 8 x 13</t>
  </si>
  <si>
    <t>21 x 8 x 13</t>
  </si>
  <si>
    <t>22 x 9 x 13</t>
  </si>
  <si>
    <t>21 x 10 x 13</t>
  </si>
  <si>
    <t>365-34</t>
  </si>
  <si>
    <t>R17TS/Gordini</t>
  </si>
  <si>
    <t>MPH</t>
  </si>
  <si>
    <t>RPM @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</si>
</sst>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2"/>
    </font>
    <font>
      <b/>
      <sz val="14.5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0"/>
    </font>
    <font>
      <sz val="9.5"/>
      <name val="Arial"/>
      <family val="2"/>
    </font>
    <font>
      <sz val="8.25"/>
      <name val="Arial"/>
      <family val="2"/>
    </font>
    <font>
      <b/>
      <sz val="12"/>
      <name val="Arial"/>
      <family val="0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1" xfId="2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0" fillId="0" borderId="0" xfId="0" applyNumberForma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7" fillId="7" borderId="0" xfId="0" applyFont="1" applyFill="1" applyAlignment="1">
      <alignment/>
    </xf>
    <xf numFmtId="1" fontId="7" fillId="7" borderId="0" xfId="0" applyNumberFormat="1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0" fillId="4" borderId="0" xfId="0" applyFill="1" applyAlignment="1">
      <alignment horizontal="right"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4" borderId="1" xfId="2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168" fontId="0" fillId="3" borderId="0" xfId="0" applyNumberFormat="1" applyFill="1" applyAlignment="1">
      <alignment/>
    </xf>
    <xf numFmtId="168" fontId="0" fillId="3" borderId="2" xfId="0" applyNumberFormat="1" applyFill="1" applyBorder="1" applyAlignment="1">
      <alignment/>
    </xf>
    <xf numFmtId="0" fontId="0" fillId="3" borderId="0" xfId="0" applyFill="1" applyAlignment="1">
      <alignment horizontal="right"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Alignment="1" applyProtection="1">
      <alignment/>
      <protection locked="0"/>
    </xf>
    <xf numFmtId="0" fontId="9" fillId="2" borderId="3" xfId="20" applyFont="1" applyFill="1" applyBorder="1" applyAlignment="1">
      <alignment horizontal="center" wrapText="1"/>
    </xf>
    <xf numFmtId="0" fontId="10" fillId="4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10" fillId="4" borderId="0" xfId="0" applyNumberFormat="1" applyFont="1" applyFill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ill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4" xfId="0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wrapText="1"/>
    </xf>
    <xf numFmtId="49" fontId="0" fillId="4" borderId="0" xfId="0" applyNumberFormat="1" applyFill="1" applyBorder="1" applyAlignment="1">
      <alignment horizontal="left" wrapText="1"/>
    </xf>
    <xf numFmtId="0" fontId="0" fillId="4" borderId="5" xfId="0" applyFill="1" applyBorder="1" applyAlignment="1">
      <alignment/>
    </xf>
    <xf numFmtId="49" fontId="0" fillId="4" borderId="6" xfId="0" applyNumberFormat="1" applyFill="1" applyBorder="1" applyAlignment="1">
      <alignment horizontal="left" wrapText="1"/>
    </xf>
    <xf numFmtId="49" fontId="0" fillId="4" borderId="3" xfId="0" applyNumberFormat="1" applyFill="1" applyBorder="1" applyAlignment="1">
      <alignment horizontal="left" wrapText="1"/>
    </xf>
    <xf numFmtId="49" fontId="0" fillId="4" borderId="5" xfId="0" applyNumberFormat="1" applyFill="1" applyBorder="1" applyAlignment="1">
      <alignment horizontal="left" wrapText="1"/>
    </xf>
    <xf numFmtId="49" fontId="1" fillId="4" borderId="5" xfId="0" applyNumberFormat="1" applyFont="1" applyFill="1" applyBorder="1" applyAlignment="1">
      <alignment horizontal="left" wrapText="1"/>
    </xf>
    <xf numFmtId="0" fontId="4" fillId="4" borderId="3" xfId="20" applyFont="1" applyFill="1" applyBorder="1" applyAlignment="1">
      <alignment horizontal="center" wrapText="1"/>
    </xf>
    <xf numFmtId="0" fontId="4" fillId="4" borderId="0" xfId="20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2" fontId="1" fillId="4" borderId="1" xfId="0" applyNumberFormat="1" applyFont="1" applyFill="1" applyBorder="1" applyAlignment="1">
      <alignment horizontal="right" wrapText="1"/>
    </xf>
    <xf numFmtId="49" fontId="0" fillId="4" borderId="1" xfId="0" applyNumberFormat="1" applyFont="1" applyFill="1" applyBorder="1" applyAlignment="1">
      <alignment horizontal="right" wrapText="1"/>
    </xf>
    <xf numFmtId="49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right" wrapText="1"/>
    </xf>
    <xf numFmtId="2" fontId="0" fillId="4" borderId="1" xfId="0" applyNumberFormat="1" applyFont="1" applyFill="1" applyBorder="1" applyAlignment="1">
      <alignment horizontal="right" wrapText="1"/>
    </xf>
    <xf numFmtId="2" fontId="0" fillId="4" borderId="1" xfId="0" applyNumberFormat="1" applyFill="1" applyBorder="1" applyAlignment="1">
      <alignment horizontal="right"/>
    </xf>
    <xf numFmtId="0" fontId="8" fillId="4" borderId="0" xfId="0" applyFont="1" applyFill="1" applyAlignment="1" applyProtection="1">
      <alignment horizontal="right"/>
      <protection locked="0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11" fillId="4" borderId="0" xfId="0" applyFont="1" applyFill="1" applyAlignment="1">
      <alignment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right" wrapText="1"/>
    </xf>
    <xf numFmtId="2" fontId="0" fillId="9" borderId="1" xfId="0" applyNumberFormat="1" applyFill="1" applyBorder="1" applyAlignment="1">
      <alignment horizontal="right" wrapText="1"/>
    </xf>
    <xf numFmtId="0" fontId="0" fillId="9" borderId="1" xfId="0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 wrapText="1"/>
    </xf>
    <xf numFmtId="0" fontId="0" fillId="9" borderId="4" xfId="0" applyFill="1" applyBorder="1" applyAlignment="1">
      <alignment horizontal="left" wrapText="1"/>
    </xf>
    <xf numFmtId="49" fontId="1" fillId="9" borderId="6" xfId="0" applyNumberFormat="1" applyFont="1" applyFill="1" applyBorder="1" applyAlignment="1">
      <alignment horizontal="left" wrapText="1"/>
    </xf>
    <xf numFmtId="0" fontId="0" fillId="9" borderId="5" xfId="0" applyFill="1" applyBorder="1" applyAlignment="1">
      <alignment/>
    </xf>
    <xf numFmtId="0" fontId="0" fillId="9" borderId="3" xfId="0" applyFill="1" applyBorder="1" applyAlignment="1">
      <alignment horizontal="left" wrapText="1"/>
    </xf>
    <xf numFmtId="49" fontId="1" fillId="9" borderId="3" xfId="0" applyNumberFormat="1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right" wrapText="1"/>
    </xf>
    <xf numFmtId="2" fontId="1" fillId="9" borderId="1" xfId="0" applyNumberFormat="1" applyFont="1" applyFill="1" applyBorder="1" applyAlignment="1">
      <alignment horizontal="right" wrapText="1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/>
    </xf>
    <xf numFmtId="49" fontId="0" fillId="9" borderId="1" xfId="0" applyNumberFormat="1" applyFill="1" applyBorder="1" applyAlignment="1">
      <alignment horizontal="left" wrapText="1"/>
    </xf>
    <xf numFmtId="0" fontId="0" fillId="9" borderId="1" xfId="0" applyFill="1" applyBorder="1" applyAlignment="1">
      <alignment/>
    </xf>
    <xf numFmtId="0" fontId="1" fillId="9" borderId="1" xfId="0" applyFont="1" applyFill="1" applyBorder="1" applyAlignment="1">
      <alignment horizontal="left" wrapText="1"/>
    </xf>
    <xf numFmtId="0" fontId="0" fillId="9" borderId="1" xfId="20" applyFont="1" applyFill="1" applyBorder="1" applyAlignment="1">
      <alignment horizontal="left"/>
    </xf>
    <xf numFmtId="2" fontId="0" fillId="9" borderId="1" xfId="0" applyNumberFormat="1" applyFill="1" applyBorder="1" applyAlignment="1">
      <alignment/>
    </xf>
    <xf numFmtId="0" fontId="15" fillId="0" borderId="0" xfId="0" applyFont="1" applyAlignment="1">
      <alignment/>
    </xf>
    <xf numFmtId="1" fontId="16" fillId="0" borderId="0" xfId="0" applyNumberFormat="1" applyFont="1" applyAlignment="1">
      <alignment/>
    </xf>
    <xf numFmtId="0" fontId="8" fillId="4" borderId="0" xfId="0" applyFont="1" applyFill="1" applyAlignment="1" applyProtection="1">
      <alignment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1" fillId="3" borderId="0" xfId="0" applyFont="1" applyFill="1" applyAlignment="1">
      <alignment/>
    </xf>
    <xf numFmtId="0" fontId="1" fillId="3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Speed in Gear  (2000-7000 500RPM steps)</a:t>
            </a:r>
          </a:p>
        </c:rich>
      </c:tx>
      <c:layout>
        <c:manualLayout>
          <c:xMode val="factor"/>
          <c:yMode val="factor"/>
          <c:x val="-0.00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45"/>
          <c:w val="0.966"/>
          <c:h val="0.94925"/>
        </c:manualLayout>
      </c:layout>
      <c:lineChart>
        <c:grouping val="standard"/>
        <c:varyColors val="0"/>
        <c:ser>
          <c:idx val="0"/>
          <c:order val="0"/>
          <c:tx>
            <c:v>1st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Sheet1!$A$12:$A$22</c:f>
              <c:numCache/>
            </c:numRef>
          </c:cat>
          <c:val>
            <c:numRef>
              <c:f>Sheet1!$B$12:$B$22</c:f>
              <c:numCache/>
            </c:numRef>
          </c:val>
          <c:smooth val="0"/>
        </c:ser>
        <c:ser>
          <c:idx val="1"/>
          <c:order val="1"/>
          <c:tx>
            <c:v>2nd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Sheet1!$A$12:$A$22</c:f>
              <c:numCache/>
            </c:numRef>
          </c:cat>
          <c:val>
            <c:numRef>
              <c:f>Sheet1!$C$12:$C$22</c:f>
              <c:numCache/>
            </c:numRef>
          </c:val>
          <c:smooth val="0"/>
        </c:ser>
        <c:ser>
          <c:idx val="2"/>
          <c:order val="2"/>
          <c:tx>
            <c:v>3rd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Sheet1!$A$12:$A$22</c:f>
              <c:numCache/>
            </c:numRef>
          </c:cat>
          <c:val>
            <c:numRef>
              <c:f>Sheet1!$D$12:$D$22</c:f>
              <c:numCache/>
            </c:numRef>
          </c:val>
          <c:smooth val="0"/>
        </c:ser>
        <c:ser>
          <c:idx val="3"/>
          <c:order val="3"/>
          <c:tx>
            <c:v>4th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Sheet1!$A$12:$A$22</c:f>
              <c:numCache/>
            </c:numRef>
          </c:cat>
          <c:val>
            <c:numRef>
              <c:f>Sheet1!$E$12:$E$22</c:f>
              <c:numCache/>
            </c:numRef>
          </c:val>
          <c:smooth val="0"/>
        </c:ser>
        <c:ser>
          <c:idx val="4"/>
          <c:order val="4"/>
          <c:tx>
            <c:v>5th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Sheet1!$A$12:$A$22</c:f>
              <c:numCache/>
            </c:numRef>
          </c:cat>
          <c:val>
            <c:numRef>
              <c:f>Sheet1!$F$12:$F$22</c:f>
              <c:numCache/>
            </c:numRef>
          </c:val>
          <c:smooth val="0"/>
        </c:ser>
        <c:marker val="1"/>
        <c:axId val="12118090"/>
        <c:axId val="41953947"/>
      </c:lineChart>
      <c:cat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0.0062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auto val="1"/>
        <c:lblOffset val="100"/>
        <c:noMultiLvlLbl val="0"/>
      </c:catAx>
      <c:valAx>
        <c:axId val="41953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118090"/>
        <c:crossesAt val="1"/>
        <c:crossBetween val="between"/>
        <c:dispUnits/>
      </c:valAx>
      <c:spPr>
        <a:solidFill>
          <a:srgbClr val="96969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0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133350</xdr:rowOff>
    </xdr:from>
    <xdr:to>
      <xdr:col>17</xdr:col>
      <xdr:colOff>438150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3657600" y="2562225"/>
        <a:ext cx="56769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7.28125" style="0" customWidth="1"/>
    <col min="4" max="4" width="7.00390625" style="0" customWidth="1"/>
    <col min="5" max="5" width="6.57421875" style="0" customWidth="1"/>
    <col min="6" max="7" width="7.00390625" style="0" customWidth="1"/>
    <col min="8" max="8" width="5.57421875" style="0" customWidth="1"/>
    <col min="9" max="9" width="7.57421875" style="0" bestFit="1" customWidth="1"/>
    <col min="10" max="10" width="7.28125" style="0" bestFit="1" customWidth="1"/>
    <col min="11" max="11" width="5.00390625" style="0" bestFit="1" customWidth="1"/>
    <col min="12" max="12" width="8.28125" style="0" customWidth="1"/>
    <col min="14" max="14" width="12.00390625" style="0" bestFit="1" customWidth="1"/>
    <col min="17" max="17" width="5.8515625" style="0" customWidth="1"/>
  </cols>
  <sheetData>
    <row r="1" spans="1:18" ht="12.75">
      <c r="A1" t="s">
        <v>18</v>
      </c>
      <c r="H1" s="4" t="s">
        <v>25</v>
      </c>
      <c r="I1" s="4" t="s">
        <v>19</v>
      </c>
      <c r="J1" s="4" t="s">
        <v>20</v>
      </c>
      <c r="K1" s="4" t="s">
        <v>21</v>
      </c>
      <c r="L1" s="4" t="s">
        <v>22</v>
      </c>
      <c r="M1" s="4" t="s">
        <v>24</v>
      </c>
      <c r="N1" s="31" t="s">
        <v>26</v>
      </c>
      <c r="O1" s="4"/>
      <c r="P1" s="4"/>
      <c r="Q1" s="4"/>
      <c r="R1" s="4"/>
    </row>
    <row r="2" spans="1:18" ht="12.75" customHeight="1">
      <c r="A2" t="s">
        <v>13</v>
      </c>
      <c r="B2" s="73">
        <v>336</v>
      </c>
      <c r="C2" t="s">
        <v>16</v>
      </c>
      <c r="H2" s="33">
        <v>1</v>
      </c>
      <c r="I2" s="34">
        <v>170</v>
      </c>
      <c r="J2" s="34">
        <v>70</v>
      </c>
      <c r="K2" s="34">
        <v>13</v>
      </c>
      <c r="L2" s="5">
        <f>((I2*2*J2)/100+(K2*25.4))/25.4</f>
        <v>22.370078740157485</v>
      </c>
      <c r="M2" s="6">
        <f>5280/((L2*3.14159)/12)</f>
        <v>901.5672970203785</v>
      </c>
      <c r="N2" s="29">
        <f>I2/25.4*0.92</f>
        <v>6.1574803149606305</v>
      </c>
      <c r="O2" s="33" t="s">
        <v>44</v>
      </c>
      <c r="P2" s="4"/>
      <c r="Q2" s="29">
        <f>L2*3.14159/12</f>
        <v>5.856467972440946</v>
      </c>
      <c r="R2" s="4" t="s">
        <v>94</v>
      </c>
    </row>
    <row r="3" spans="1:18" ht="12.75">
      <c r="A3" t="s">
        <v>15</v>
      </c>
      <c r="B3" s="34">
        <v>1</v>
      </c>
      <c r="C3" t="s">
        <v>17</v>
      </c>
      <c r="H3" s="101">
        <v>2</v>
      </c>
      <c r="I3" s="4">
        <v>185</v>
      </c>
      <c r="J3" s="4">
        <v>60</v>
      </c>
      <c r="K3" s="4">
        <v>13</v>
      </c>
      <c r="L3" s="5">
        <f aca="true" t="shared" si="0" ref="L3:L11">((I3*2*J3)/100+(K3*25.4))/25.4</f>
        <v>21.740157480314963</v>
      </c>
      <c r="M3" s="6">
        <f aca="true" t="shared" si="1" ref="M3:M11">5280/((L3*3.14159)/12)</f>
        <v>927.6902176149569</v>
      </c>
      <c r="N3" s="29">
        <v>6.5</v>
      </c>
      <c r="O3" s="4" t="s">
        <v>31</v>
      </c>
      <c r="P3" s="4"/>
      <c r="Q3" s="29">
        <f aca="true" t="shared" si="2" ref="Q3:Q16">L3*3.14159/12</f>
        <v>5.691555111548556</v>
      </c>
      <c r="R3" s="4" t="s">
        <v>94</v>
      </c>
    </row>
    <row r="4" spans="8:18" ht="12.75">
      <c r="H4" s="102">
        <v>3</v>
      </c>
      <c r="I4" s="18">
        <v>205</v>
      </c>
      <c r="J4" s="18">
        <v>60</v>
      </c>
      <c r="K4" s="18">
        <v>13</v>
      </c>
      <c r="L4" s="19">
        <f t="shared" si="0"/>
        <v>22.685039370078744</v>
      </c>
      <c r="M4" s="20">
        <f t="shared" si="1"/>
        <v>889.0498753331814</v>
      </c>
      <c r="N4" s="30">
        <v>8</v>
      </c>
      <c r="O4" s="4" t="s">
        <v>31</v>
      </c>
      <c r="P4" s="4"/>
      <c r="Q4" s="29">
        <f t="shared" si="2"/>
        <v>5.93892440288714</v>
      </c>
      <c r="R4" s="4" t="s">
        <v>94</v>
      </c>
    </row>
    <row r="5" spans="1:18" ht="12.75">
      <c r="A5" s="16" t="s">
        <v>37</v>
      </c>
      <c r="B5" s="36" t="str">
        <f>VLOOKUP($B2,$A29:$H104,B9+7,TRUE)</f>
        <v>Stock S2 Lotus</v>
      </c>
      <c r="C5" s="7"/>
      <c r="D5" s="7"/>
      <c r="E5" s="7"/>
      <c r="F5" s="7"/>
      <c r="H5" s="101">
        <v>4</v>
      </c>
      <c r="I5" s="4">
        <v>215</v>
      </c>
      <c r="J5" s="4">
        <v>50</v>
      </c>
      <c r="K5" s="4">
        <v>13</v>
      </c>
      <c r="L5" s="5">
        <f t="shared" si="0"/>
        <v>21.464566929133863</v>
      </c>
      <c r="M5" s="6">
        <f t="shared" si="1"/>
        <v>939.6011338352514</v>
      </c>
      <c r="N5" s="29">
        <v>7.1</v>
      </c>
      <c r="O5" s="4" t="s">
        <v>93</v>
      </c>
      <c r="P5" s="4"/>
      <c r="Q5" s="29">
        <f t="shared" si="2"/>
        <v>5.619405734908137</v>
      </c>
      <c r="R5" s="4" t="s">
        <v>94</v>
      </c>
    </row>
    <row r="6" spans="1:18" ht="12.75">
      <c r="A6" s="14" t="str">
        <f>VLOOKUP($B3,$H2:$O12,8,FALSE)</f>
        <v>You enter…</v>
      </c>
      <c r="B6" s="15" t="s">
        <v>36</v>
      </c>
      <c r="C6" s="37">
        <f>VLOOKUP($B3,$H1:$K16,2,TRUE)</f>
        <v>170</v>
      </c>
      <c r="D6" s="37">
        <f>VLOOKUP($B3,$H1:$K16,3,TRUE)</f>
        <v>70</v>
      </c>
      <c r="E6" s="37">
        <f>VLOOKUP($B3,$H1:$K16,4,TRUE)</f>
        <v>13</v>
      </c>
      <c r="F6" s="14" t="s">
        <v>34</v>
      </c>
      <c r="H6" s="101">
        <v>5</v>
      </c>
      <c r="I6" s="4">
        <v>245</v>
      </c>
      <c r="J6" s="4">
        <v>45</v>
      </c>
      <c r="K6" s="4">
        <v>13</v>
      </c>
      <c r="L6" s="5">
        <f t="shared" si="0"/>
        <v>21.681102362204726</v>
      </c>
      <c r="M6" s="6">
        <f t="shared" si="1"/>
        <v>930.2170658561453</v>
      </c>
      <c r="N6" s="29">
        <v>8.1</v>
      </c>
      <c r="O6" s="4" t="s">
        <v>93</v>
      </c>
      <c r="P6" s="4"/>
      <c r="Q6" s="29">
        <f t="shared" si="2"/>
        <v>5.676094530839895</v>
      </c>
      <c r="R6" s="4" t="s">
        <v>94</v>
      </c>
    </row>
    <row r="7" spans="1:18" ht="12.75">
      <c r="A7" s="17" t="s">
        <v>35</v>
      </c>
      <c r="B7" s="7" t="s">
        <v>23</v>
      </c>
      <c r="C7" s="7"/>
      <c r="D7" s="40">
        <f>VLOOKUP($B2,$A29:$H104,7,TRUE)</f>
        <v>3.56</v>
      </c>
      <c r="E7" s="7"/>
      <c r="F7" s="8">
        <f>VLOOKUP($B3,$H2:$M16,6,TRUE)</f>
        <v>901.5672970203785</v>
      </c>
      <c r="H7" s="102">
        <v>6</v>
      </c>
      <c r="I7" s="18">
        <v>235</v>
      </c>
      <c r="J7" s="18">
        <v>45</v>
      </c>
      <c r="K7" s="18">
        <v>13</v>
      </c>
      <c r="L7" s="19">
        <f>((I7*2*J7)/100+(K7*25.4))/25.4</f>
        <v>21.32677165354331</v>
      </c>
      <c r="M7" s="20">
        <f t="shared" si="1"/>
        <v>945.672029106478</v>
      </c>
      <c r="N7" s="30">
        <v>9.2</v>
      </c>
      <c r="O7" s="4" t="s">
        <v>30</v>
      </c>
      <c r="P7" s="4"/>
      <c r="Q7" s="29">
        <f t="shared" si="2"/>
        <v>5.583331046587927</v>
      </c>
      <c r="R7" s="4" t="s">
        <v>94</v>
      </c>
    </row>
    <row r="8" spans="1:18" ht="12.75">
      <c r="A8" s="7"/>
      <c r="B8" s="36">
        <f>VLOOKUP($B2,$A29:$H104,B9+1,TRUE)</f>
        <v>3.61</v>
      </c>
      <c r="C8" s="36">
        <f>VLOOKUP($B2,$A29:$H104,C9+1,TRUE)</f>
        <v>2.25</v>
      </c>
      <c r="D8" s="36">
        <f>VLOOKUP($B2,$A29:$H104,D9+1,TRUE)</f>
        <v>1.48</v>
      </c>
      <c r="E8" s="36">
        <f>VLOOKUP($B2,$A29:$H104,E9+1,TRUE)</f>
        <v>1.03</v>
      </c>
      <c r="F8" s="36">
        <f>VLOOKUP($B2,$A29:$H104,F9+1,TRUE)</f>
        <v>0</v>
      </c>
      <c r="H8" s="101">
        <v>7</v>
      </c>
      <c r="I8" s="4">
        <v>195</v>
      </c>
      <c r="J8" s="4">
        <v>55</v>
      </c>
      <c r="K8" s="4">
        <v>14</v>
      </c>
      <c r="L8" s="5">
        <f>((I8*2*J8)/100+(K8*25.4))/25.4</f>
        <v>22.444881889763778</v>
      </c>
      <c r="M8" s="6">
        <f t="shared" si="1"/>
        <v>898.5625998368341</v>
      </c>
      <c r="N8" s="29">
        <v>6.8</v>
      </c>
      <c r="O8" s="4" t="s">
        <v>31</v>
      </c>
      <c r="P8" s="4"/>
      <c r="Q8" s="29">
        <f t="shared" si="2"/>
        <v>5.876051374671916</v>
      </c>
      <c r="R8" s="4" t="s">
        <v>94</v>
      </c>
    </row>
    <row r="9" spans="1:18" ht="12.75">
      <c r="A9" s="4" t="s">
        <v>14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H9" s="101">
        <v>8</v>
      </c>
      <c r="I9" s="4">
        <v>195</v>
      </c>
      <c r="J9" s="4">
        <v>50</v>
      </c>
      <c r="K9" s="4">
        <v>15</v>
      </c>
      <c r="L9" s="5">
        <f>((I9*2*J9)/100+(K9*25.4))/25.4</f>
        <v>22.67716535433071</v>
      </c>
      <c r="M9" s="6">
        <f t="shared" si="1"/>
        <v>889.358573206561</v>
      </c>
      <c r="N9" s="29">
        <v>7.2</v>
      </c>
      <c r="O9" s="4" t="s">
        <v>33</v>
      </c>
      <c r="P9" s="4"/>
      <c r="Q9" s="29">
        <f t="shared" si="2"/>
        <v>5.936862992125985</v>
      </c>
      <c r="R9" s="4" t="s">
        <v>94</v>
      </c>
    </row>
    <row r="10" spans="1:18" ht="12.75">
      <c r="A10" s="4">
        <v>1000</v>
      </c>
      <c r="B10" s="2">
        <f>($A10*60/B8/$D7)/F7</f>
        <v>5.178403655117002</v>
      </c>
      <c r="C10" s="2">
        <f>($A10*60/C8/$D7)/$F7</f>
        <v>8.308460975543278</v>
      </c>
      <c r="D10" s="2">
        <f>($A10*60/D8/$D7)/$F7</f>
        <v>12.631106212819173</v>
      </c>
      <c r="E10" s="2">
        <f>($A10*60/E8/$D7)/$F7</f>
        <v>18.14955067473046</v>
      </c>
      <c r="F10" s="2">
        <f>IF(F8&gt;0,(($A10*60/F8/$D7)/$F7),"")</f>
      </c>
      <c r="H10" s="102">
        <v>9</v>
      </c>
      <c r="I10" s="18">
        <v>205</v>
      </c>
      <c r="J10" s="18">
        <v>50</v>
      </c>
      <c r="K10" s="18">
        <v>15</v>
      </c>
      <c r="L10" s="19">
        <f>((I10*2*J10)/100+(K10*25.4))/25.4</f>
        <v>23.070866141732285</v>
      </c>
      <c r="M10" s="20">
        <f t="shared" si="1"/>
        <v>874.1818057456981</v>
      </c>
      <c r="N10" s="30">
        <v>7.6</v>
      </c>
      <c r="O10" s="4" t="s">
        <v>32</v>
      </c>
      <c r="P10" s="4"/>
      <c r="Q10" s="29">
        <f t="shared" si="2"/>
        <v>6.039933530183728</v>
      </c>
      <c r="R10" s="4" t="s">
        <v>94</v>
      </c>
    </row>
    <row r="11" spans="1:18" ht="12.75">
      <c r="A11" s="4">
        <f>A10+500</f>
        <v>1500</v>
      </c>
      <c r="B11" s="2">
        <f>($A11*60/B8/$D7)/$F7</f>
        <v>7.767605482675501</v>
      </c>
      <c r="C11" s="2">
        <f>($A11*60/C8/$D7)/$F7</f>
        <v>12.462691463314917</v>
      </c>
      <c r="D11" s="2">
        <f>($A11*60/D8/$D7)/$F7</f>
        <v>18.946659319228758</v>
      </c>
      <c r="E11" s="2">
        <f>($A11*60/E8/$D7)/$F7</f>
        <v>27.22432601209569</v>
      </c>
      <c r="F11" s="2" t="str">
        <f>IF(F8&gt;0,(($A11*60/F8/$D7)/$F7)," ")</f>
        <v> </v>
      </c>
      <c r="H11" s="101">
        <v>10</v>
      </c>
      <c r="I11" s="4">
        <v>215</v>
      </c>
      <c r="J11" s="4">
        <v>40</v>
      </c>
      <c r="K11" s="4">
        <v>15</v>
      </c>
      <c r="L11" s="5">
        <f t="shared" si="0"/>
        <v>21.77165354330709</v>
      </c>
      <c r="M11" s="6">
        <f t="shared" si="1"/>
        <v>926.3481702838682</v>
      </c>
      <c r="N11" s="29">
        <v>8.1</v>
      </c>
      <c r="O11" s="4" t="s">
        <v>93</v>
      </c>
      <c r="P11" s="4"/>
      <c r="Q11" s="29">
        <f t="shared" si="2"/>
        <v>5.699800754593176</v>
      </c>
      <c r="R11" s="4" t="s">
        <v>94</v>
      </c>
    </row>
    <row r="12" spans="1:18" ht="12.75">
      <c r="A12" s="4">
        <f>A11+500</f>
        <v>2000</v>
      </c>
      <c r="B12" s="2">
        <f>($A12*60/B8/$D7)/$F7</f>
        <v>10.356807310234004</v>
      </c>
      <c r="C12" s="2">
        <f>($A12*60/C8/$D7)/$F7</f>
        <v>16.616921951086557</v>
      </c>
      <c r="D12" s="2">
        <f>($A12*60/D8/$D7)/$F7</f>
        <v>25.262212425638346</v>
      </c>
      <c r="E12" s="2">
        <f>($A12*60/E8/$D7)/$F7</f>
        <v>36.29910134946092</v>
      </c>
      <c r="F12" s="2">
        <f>IF(F8&gt;0,((($A12*60/F8/$D7)/$F7)),"")</f>
      </c>
      <c r="H12" s="101">
        <v>11</v>
      </c>
      <c r="I12" s="4">
        <v>204</v>
      </c>
      <c r="J12" s="4">
        <v>44</v>
      </c>
      <c r="K12" s="4">
        <v>13</v>
      </c>
      <c r="L12" s="5">
        <f>((I12*2*J12)/100+(K12*25.4))/25.4</f>
        <v>20.067716535433075</v>
      </c>
      <c r="M12" s="6">
        <f>5280/((L12*3.14159)/12)</f>
        <v>1005.0038024150103</v>
      </c>
      <c r="N12" s="29">
        <f>I12/25.4*0.92</f>
        <v>7.388976377952756</v>
      </c>
      <c r="O12" s="4" t="s">
        <v>156</v>
      </c>
      <c r="P12" s="4"/>
      <c r="Q12" s="29">
        <f t="shared" si="2"/>
        <v>5.253711465879266</v>
      </c>
      <c r="R12" s="4" t="s">
        <v>94</v>
      </c>
    </row>
    <row r="13" spans="1:18" ht="12.75">
      <c r="A13" s="4">
        <f aca="true" t="shared" si="3" ref="A13:A24">A12+500</f>
        <v>2500</v>
      </c>
      <c r="B13" s="2">
        <f>($A13*60/B8/$D7)/$F7</f>
        <v>12.946009137792503</v>
      </c>
      <c r="C13" s="2">
        <f>($A13*60/C8/$D7)/$F7</f>
        <v>20.771152438858195</v>
      </c>
      <c r="D13" s="2">
        <f>($A13*60/D8/$D7)/$F7</f>
        <v>31.577765532047927</v>
      </c>
      <c r="E13" s="2">
        <f>($A13*60/E8/$D7)/$F7</f>
        <v>45.37387668682615</v>
      </c>
      <c r="F13" s="2">
        <f>IF(F8&gt;0,(($A13*60/F8/$D7)/$F7),"")</f>
      </c>
      <c r="H13" s="101">
        <v>12</v>
      </c>
      <c r="I13" s="4">
        <v>240</v>
      </c>
      <c r="J13" s="4">
        <v>37</v>
      </c>
      <c r="K13" s="4">
        <v>13</v>
      </c>
      <c r="L13" s="5">
        <f>((I13*2*J13)/100+(K13*25.4))/25.4</f>
        <v>19.992125984251967</v>
      </c>
      <c r="M13" s="6">
        <f>5280/((L13*3.14159)/12)</f>
        <v>1008.8037380208333</v>
      </c>
      <c r="N13" s="29">
        <f>I13/25.4*0.92</f>
        <v>8.692913385826772</v>
      </c>
      <c r="O13" s="4" t="s">
        <v>155</v>
      </c>
      <c r="P13" s="4"/>
      <c r="Q13" s="29">
        <f t="shared" si="2"/>
        <v>5.233921922572178</v>
      </c>
      <c r="R13" s="4" t="s">
        <v>94</v>
      </c>
    </row>
    <row r="14" spans="1:18" ht="12.75">
      <c r="A14" s="4">
        <f t="shared" si="3"/>
        <v>3000</v>
      </c>
      <c r="B14" s="2">
        <f>($A14*60/B8/$D7)/$F7</f>
        <v>15.535210965351002</v>
      </c>
      <c r="C14" s="2">
        <f>($A14*60/C8/$D7)/$F7</f>
        <v>24.925382926629833</v>
      </c>
      <c r="D14" s="2">
        <f>($A14*60/D8/$D7)/$F7</f>
        <v>37.893318638457515</v>
      </c>
      <c r="E14" s="2">
        <f>($A14*60/E8/$D7)/$F7</f>
        <v>54.44865202419138</v>
      </c>
      <c r="F14" s="2">
        <f>IF(F8&gt;0,(($A14*60/F8/$D7)/$F7),"")</f>
      </c>
      <c r="H14" s="101">
        <v>13</v>
      </c>
      <c r="I14" s="4">
        <v>204</v>
      </c>
      <c r="J14" s="4">
        <v>50</v>
      </c>
      <c r="K14" s="4">
        <v>13</v>
      </c>
      <c r="L14" s="5">
        <f>((I14*2*J14)/100+(K14*25.4))/25.4</f>
        <v>21.03149606299213</v>
      </c>
      <c r="M14" s="6">
        <f>5280/((L14*3.14159)/12)</f>
        <v>958.9489669917242</v>
      </c>
      <c r="N14" s="29">
        <f>I14/25.4*0.92</f>
        <v>7.388976377952756</v>
      </c>
      <c r="O14" s="74" t="s">
        <v>157</v>
      </c>
      <c r="P14" s="4"/>
      <c r="Q14" s="29">
        <f t="shared" si="2"/>
        <v>5.50602814304462</v>
      </c>
      <c r="R14" s="4" t="s">
        <v>94</v>
      </c>
    </row>
    <row r="15" spans="1:18" ht="12.75">
      <c r="A15" s="4">
        <f t="shared" si="3"/>
        <v>3500</v>
      </c>
      <c r="B15" s="2">
        <f>($A15*60/B8/$D7)/$F7</f>
        <v>18.124412792909506</v>
      </c>
      <c r="C15" s="2">
        <f>($A15*60/C8/$D7)/$F7</f>
        <v>29.079613414401468</v>
      </c>
      <c r="D15" s="2">
        <f>($A15*60/D8/$D7)/$F7</f>
        <v>44.2088717448671</v>
      </c>
      <c r="E15" s="2">
        <f>($A15*60/E8/$D7)/$F7</f>
        <v>63.52342736155661</v>
      </c>
      <c r="F15" s="2">
        <f>IF(F8&gt;0,(($A15*60/F8/$D7)/$F7),"")</f>
      </c>
      <c r="H15" s="101">
        <v>14</v>
      </c>
      <c r="I15" s="4">
        <v>254</v>
      </c>
      <c r="J15" s="4">
        <v>40</v>
      </c>
      <c r="K15" s="4">
        <v>13</v>
      </c>
      <c r="L15" s="5">
        <f>((I15*2*J15)/100+(K15*25.4))/25.4</f>
        <v>21</v>
      </c>
      <c r="M15" s="6">
        <f>5280/((L15*3.14159)/12)</f>
        <v>960.3872106617532</v>
      </c>
      <c r="N15" s="29">
        <f>I15/25.4*0.92</f>
        <v>9.200000000000001</v>
      </c>
      <c r="O15" s="74" t="s">
        <v>159</v>
      </c>
      <c r="P15" s="4"/>
      <c r="Q15" s="29">
        <f t="shared" si="2"/>
        <v>5.4977825</v>
      </c>
      <c r="R15" s="4" t="s">
        <v>94</v>
      </c>
    </row>
    <row r="16" spans="1:18" ht="12.75">
      <c r="A16" s="4">
        <f t="shared" si="3"/>
        <v>4000</v>
      </c>
      <c r="B16" s="2">
        <f>($A16*60/B8/$D7)/$F7</f>
        <v>20.713614620468007</v>
      </c>
      <c r="C16" s="2">
        <f>($A16*60/C8/$D7)/$F7</f>
        <v>33.23384390217311</v>
      </c>
      <c r="D16" s="2">
        <f>($A16*60/D8/$D7)/$F7</f>
        <v>50.52442485127669</v>
      </c>
      <c r="E16" s="2">
        <f>($A16*60/E8/$D7)/$F7</f>
        <v>72.59820269892184</v>
      </c>
      <c r="F16" s="2">
        <f>IF(F8&gt;0,(($A16*60/F8/$D7)/$F7),"")</f>
      </c>
      <c r="H16" s="101">
        <v>15</v>
      </c>
      <c r="I16" s="4">
        <v>228</v>
      </c>
      <c r="J16" s="4">
        <v>50</v>
      </c>
      <c r="K16" s="4">
        <v>13</v>
      </c>
      <c r="L16" s="5">
        <f>((I16*2*J16)/100+(K16*25.4))/25.4</f>
        <v>21.976377952755907</v>
      </c>
      <c r="M16" s="6">
        <f>5280/((L16*3.14159)/12)</f>
        <v>917.7186280311341</v>
      </c>
      <c r="N16" s="29">
        <f>I16/25.4*0.92</f>
        <v>8.258267716535434</v>
      </c>
      <c r="O16" s="75" t="s">
        <v>158</v>
      </c>
      <c r="P16" s="4"/>
      <c r="Q16" s="29">
        <f t="shared" si="2"/>
        <v>5.753397434383203</v>
      </c>
      <c r="R16" s="4" t="s">
        <v>94</v>
      </c>
    </row>
    <row r="17" spans="1:6" ht="12.75">
      <c r="A17" s="4">
        <f t="shared" si="3"/>
        <v>4500</v>
      </c>
      <c r="B17" s="2">
        <f>($A17*60/B8/$D7)/$F7</f>
        <v>23.302816448026505</v>
      </c>
      <c r="C17" s="9">
        <f>($A17*60/C8/$D7)/$F7</f>
        <v>37.38807438994475</v>
      </c>
      <c r="D17" s="9">
        <f>($A17*60/D8/$D7)/$F7</f>
        <v>56.83997795768627</v>
      </c>
      <c r="E17" s="9">
        <f>($A17*60/E8/$D7)/$F7</f>
        <v>81.67297803628708</v>
      </c>
      <c r="F17" s="2">
        <f>IF(F8&gt;0,(($A17*60/F8/$D7)/$F7),"")</f>
      </c>
    </row>
    <row r="18" spans="1:6" ht="12.75">
      <c r="A18" s="4">
        <f t="shared" si="3"/>
        <v>5000</v>
      </c>
      <c r="B18" s="2">
        <f>($A18*60/B8/$D7)/$F7</f>
        <v>25.892018275585006</v>
      </c>
      <c r="C18" s="9">
        <f>($A18*60/C8/$D7)/$F7</f>
        <v>41.54230487771639</v>
      </c>
      <c r="D18" s="9">
        <f>($A18*60/D8/$D7)/$F7</f>
        <v>63.155531064095854</v>
      </c>
      <c r="E18" s="9">
        <f>($A18*60/E8/$D7)/$F7</f>
        <v>90.7477533736523</v>
      </c>
      <c r="F18" s="2">
        <f>IF(F8&gt;0,(($A18*60/F8/$D7)/$F7),"")</f>
      </c>
    </row>
    <row r="19" spans="1:6" ht="12.75">
      <c r="A19" s="4">
        <f t="shared" si="3"/>
        <v>5500</v>
      </c>
      <c r="B19" s="2">
        <f>($A19*60/B8/$D7)/$F7</f>
        <v>28.481220103143507</v>
      </c>
      <c r="C19" s="2">
        <f>($A19*60/C8/$D7)/$F7</f>
        <v>45.696535365488025</v>
      </c>
      <c r="D19" s="2">
        <f>($A19*60/D8/$D7)/$F7</f>
        <v>69.47108417050545</v>
      </c>
      <c r="E19" s="2">
        <f>($A19*60/E8/$D7)/$F7</f>
        <v>99.82252871101754</v>
      </c>
      <c r="F19" s="2">
        <f>IF(F8&gt;0,(($A19*60/F8/$D7)/$F7),"")</f>
      </c>
    </row>
    <row r="20" spans="1:6" ht="12.75">
      <c r="A20" s="4">
        <f t="shared" si="3"/>
        <v>6000</v>
      </c>
      <c r="B20" s="2">
        <f>($A20*60/B8/$D7)/$F7</f>
        <v>31.070421930702004</v>
      </c>
      <c r="C20" s="2">
        <f>($A20*60/C8/$D7)/$F7</f>
        <v>49.85076585325967</v>
      </c>
      <c r="D20" s="2">
        <f>($A20*60/D8/$D7)/$F7</f>
        <v>75.78663727691503</v>
      </c>
      <c r="E20" s="2">
        <f>($A20*60/E8/$D7)/$F7</f>
        <v>108.89730404838276</v>
      </c>
      <c r="F20" s="2">
        <f>IF(F8&gt;0,(($A20*60/F8/$D7)/$F7),"")</f>
      </c>
    </row>
    <row r="21" spans="1:6" ht="12.75">
      <c r="A21" s="4">
        <f t="shared" si="3"/>
        <v>6500</v>
      </c>
      <c r="B21" s="2">
        <f>($A21*60/B8/$D7)/$F7</f>
        <v>33.65962375826051</v>
      </c>
      <c r="C21" s="2">
        <f>($A21*60/C8/$D7)/$F7</f>
        <v>54.00499634103131</v>
      </c>
      <c r="D21" s="2">
        <f>($A21*60/D8/$D7)/$F7</f>
        <v>82.10219038332461</v>
      </c>
      <c r="E21" s="2">
        <f>($A21*60/E8/$D7)/$F7</f>
        <v>117.972079385748</v>
      </c>
      <c r="F21" s="2">
        <f>IF(F8&gt;0,(($A21*60/F8/$D7)/$F7),"")</f>
      </c>
    </row>
    <row r="22" spans="1:6" ht="12.75">
      <c r="A22" s="10">
        <f t="shared" si="3"/>
        <v>7000</v>
      </c>
      <c r="B22" s="11">
        <f>($A22*60/B8/$D7)/$F7</f>
        <v>36.24882558581901</v>
      </c>
      <c r="C22" s="11">
        <f>($A22*60/C8/$D7)/$F7</f>
        <v>58.159226828802936</v>
      </c>
      <c r="D22" s="11">
        <f>($A22*60/D8/$D7)/$F7</f>
        <v>88.4177434897342</v>
      </c>
      <c r="E22" s="11">
        <f>($A22*60/E8/$D7)/$F7</f>
        <v>127.04685472311321</v>
      </c>
      <c r="F22" s="11">
        <f>IF(F8&gt;0,(($A22*60/F8/$D7)/$F7),"")</f>
      </c>
    </row>
    <row r="23" spans="1:6" ht="12.75">
      <c r="A23" s="12">
        <f t="shared" si="3"/>
        <v>7500</v>
      </c>
      <c r="B23" s="13">
        <f>($A23*60/B8/$D7)/$F7</f>
        <v>38.83802741337751</v>
      </c>
      <c r="C23" s="13">
        <f>($A23*60/C8/$D7)/$F7</f>
        <v>62.31345731657458</v>
      </c>
      <c r="D23" s="13">
        <f>($A23*60/D8/$D7)/$F7</f>
        <v>94.7332965961438</v>
      </c>
      <c r="E23" s="13">
        <f>($A23*60/E8/$D7)/$F7</f>
        <v>136.12163006047845</v>
      </c>
      <c r="F23" s="13">
        <f>IF(F8&gt;0,(($A23*60/F8/$D7)/$F7),"")</f>
      </c>
    </row>
    <row r="24" spans="1:6" ht="12.75">
      <c r="A24" s="12">
        <f t="shared" si="3"/>
        <v>8000</v>
      </c>
      <c r="B24" s="13">
        <f>($A24*60/B8/$D7)/$F7</f>
        <v>41.427229240936015</v>
      </c>
      <c r="C24" s="13">
        <f>($A24*60/C8/$D7)/$F7</f>
        <v>66.46768780434623</v>
      </c>
      <c r="D24" s="13">
        <f>($A24*60/D8/$D7)/$F7</f>
        <v>101.04884970255338</v>
      </c>
      <c r="E24" s="13">
        <f>($A24*60/E8/$D7)/$F7</f>
        <v>145.19640539784368</v>
      </c>
      <c r="F24" s="13">
        <f>IF(F8&gt;0,(($A24*60/F8/$D7)/$F7),"")</f>
      </c>
    </row>
    <row r="25" spans="2:6" ht="12.75">
      <c r="B25" s="17" t="s">
        <v>163</v>
      </c>
      <c r="C25" s="99">
        <v>25</v>
      </c>
      <c r="D25" s="97" t="s">
        <v>162</v>
      </c>
      <c r="E25" s="98">
        <f>($C25*$F$7)/60*E$8*$D$7</f>
        <v>1377.4445686309684</v>
      </c>
      <c r="F25" s="98">
        <f>IF($F$8&gt;0,(($C25*$F$7)/60*F$8*$D$7),"")</f>
      </c>
    </row>
    <row r="26" spans="2:6" ht="12.75">
      <c r="B26" s="17" t="s">
        <v>163</v>
      </c>
      <c r="C26" s="99">
        <v>50</v>
      </c>
      <c r="D26" s="97" t="s">
        <v>162</v>
      </c>
      <c r="E26" s="98">
        <f>($C26*$F$7)/60*E$8*$D$7</f>
        <v>2754.889137261937</v>
      </c>
      <c r="F26" s="98">
        <f>IF($F$8&gt;0,(($C26*$F$7)/60*F$8*$D$7),"")</f>
      </c>
    </row>
    <row r="27" spans="1:7" ht="12.75">
      <c r="A27" s="3"/>
      <c r="B27" s="17" t="s">
        <v>163</v>
      </c>
      <c r="C27" s="100">
        <v>70</v>
      </c>
      <c r="D27" s="97" t="s">
        <v>162</v>
      </c>
      <c r="E27" s="98">
        <f>($C27*$F$7)/60*E$8*$D$7</f>
        <v>3856.844792166712</v>
      </c>
      <c r="F27" s="98">
        <f>IF($F$8&gt;0,(($C27*$F$7)/60*F$8*$D$7),"")</f>
      </c>
      <c r="G27" s="3"/>
    </row>
    <row r="28" spans="1:10" ht="22.5" customHeight="1">
      <c r="A28" s="32" t="s">
        <v>45</v>
      </c>
      <c r="B28" s="35" t="s">
        <v>7</v>
      </c>
      <c r="C28" s="35" t="s">
        <v>8</v>
      </c>
      <c r="D28" s="35" t="s">
        <v>9</v>
      </c>
      <c r="E28" s="35" t="s">
        <v>10</v>
      </c>
      <c r="F28" s="35" t="s">
        <v>11</v>
      </c>
      <c r="G28" s="35" t="s">
        <v>12</v>
      </c>
      <c r="H28" s="1"/>
      <c r="I28" s="1"/>
      <c r="J28" s="1"/>
    </row>
    <row r="29" spans="1:22" ht="12.75">
      <c r="A29" s="21">
        <v>336</v>
      </c>
      <c r="B29" s="22">
        <v>3.61</v>
      </c>
      <c r="C29" s="22">
        <v>2.25</v>
      </c>
      <c r="D29" s="22">
        <v>1.48</v>
      </c>
      <c r="E29" s="22">
        <v>1.03</v>
      </c>
      <c r="F29" s="22"/>
      <c r="G29" s="22">
        <v>3.56</v>
      </c>
      <c r="H29" s="22" t="s">
        <v>40</v>
      </c>
      <c r="I29" s="27"/>
      <c r="J29" s="62"/>
      <c r="K29" s="7"/>
      <c r="L29" s="7"/>
      <c r="M29" s="7"/>
      <c r="N29" s="24"/>
      <c r="O29" s="25"/>
      <c r="P29" s="25"/>
      <c r="Q29" s="25"/>
      <c r="R29" s="25"/>
      <c r="S29" s="25"/>
      <c r="T29" s="25"/>
      <c r="U29" s="25"/>
      <c r="V29" s="25"/>
    </row>
    <row r="30" spans="1:22" ht="12.75">
      <c r="A30" s="22" t="s">
        <v>27</v>
      </c>
      <c r="B30" s="22">
        <v>2.5</v>
      </c>
      <c r="C30" s="22">
        <v>1.625</v>
      </c>
      <c r="D30" s="22">
        <v>1.211</v>
      </c>
      <c r="E30" s="22">
        <v>0.97</v>
      </c>
      <c r="F30" s="22"/>
      <c r="G30" s="22">
        <v>3.56</v>
      </c>
      <c r="H30" s="22" t="s">
        <v>29</v>
      </c>
      <c r="I30" s="27"/>
      <c r="J30" s="27"/>
      <c r="K30" s="22"/>
      <c r="L30" s="22"/>
      <c r="M30" s="22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2" t="s">
        <v>28</v>
      </c>
      <c r="B31" s="22">
        <v>2.75</v>
      </c>
      <c r="C31" s="22">
        <v>1.812</v>
      </c>
      <c r="D31" s="22">
        <v>1.368</v>
      </c>
      <c r="E31" s="22">
        <v>1.0909</v>
      </c>
      <c r="F31" s="22"/>
      <c r="G31" s="22">
        <v>3.56</v>
      </c>
      <c r="H31" s="22" t="s">
        <v>29</v>
      </c>
      <c r="I31" s="27"/>
      <c r="J31" s="27"/>
      <c r="K31" s="22"/>
      <c r="L31" s="22"/>
      <c r="M31" s="22"/>
      <c r="P31" s="25"/>
      <c r="Q31" s="25"/>
      <c r="R31" s="25"/>
      <c r="S31" s="25"/>
      <c r="T31" s="25"/>
      <c r="U31" s="25"/>
      <c r="V31" s="25"/>
    </row>
    <row r="32" spans="1:22" ht="12.75">
      <c r="A32" s="21">
        <v>352</v>
      </c>
      <c r="B32" s="22">
        <v>3.61</v>
      </c>
      <c r="C32" s="22">
        <v>2.25</v>
      </c>
      <c r="D32" s="22">
        <v>1.48</v>
      </c>
      <c r="E32" s="22">
        <v>1.03</v>
      </c>
      <c r="F32" s="22"/>
      <c r="G32" s="22">
        <v>3.56</v>
      </c>
      <c r="H32" s="22" t="s">
        <v>39</v>
      </c>
      <c r="I32" s="27"/>
      <c r="J32" s="63"/>
      <c r="K32" s="7"/>
      <c r="L32" s="7"/>
      <c r="M32" s="7"/>
      <c r="P32" s="25"/>
      <c r="Q32" s="25"/>
      <c r="R32" s="25"/>
      <c r="S32" s="25"/>
      <c r="T32" s="25"/>
      <c r="U32" s="25"/>
      <c r="V32" s="25"/>
    </row>
    <row r="33" spans="1:22" ht="12.75">
      <c r="A33" s="21">
        <v>365</v>
      </c>
      <c r="B33" s="23">
        <v>3.61</v>
      </c>
      <c r="C33" s="23">
        <v>2.33</v>
      </c>
      <c r="D33" s="23">
        <v>1.61</v>
      </c>
      <c r="E33" s="23">
        <v>1.21</v>
      </c>
      <c r="F33" s="23">
        <v>0.87</v>
      </c>
      <c r="G33" s="22">
        <v>3.78</v>
      </c>
      <c r="H33" s="22" t="s">
        <v>41</v>
      </c>
      <c r="I33" s="27"/>
      <c r="J33" s="27"/>
      <c r="K33" s="7"/>
      <c r="L33" s="7"/>
      <c r="M33" s="7"/>
      <c r="P33" s="26"/>
      <c r="Q33" s="26"/>
      <c r="R33" s="26"/>
      <c r="S33" s="26"/>
      <c r="T33" s="25"/>
      <c r="U33" s="25"/>
      <c r="V33" s="25"/>
    </row>
    <row r="34" spans="1:22" ht="12.75">
      <c r="A34" s="21" t="s">
        <v>160</v>
      </c>
      <c r="B34" s="23">
        <v>3.46</v>
      </c>
      <c r="C34" s="23">
        <v>2.24</v>
      </c>
      <c r="D34" s="23">
        <v>1.6</v>
      </c>
      <c r="E34" s="23">
        <v>1.21</v>
      </c>
      <c r="F34" s="23">
        <v>0.93</v>
      </c>
      <c r="G34" s="22">
        <v>3.77</v>
      </c>
      <c r="H34" s="76" t="s">
        <v>161</v>
      </c>
      <c r="I34" s="27"/>
      <c r="J34" s="63"/>
      <c r="K34" s="7"/>
      <c r="L34" s="7"/>
      <c r="M34" s="7"/>
      <c r="P34" s="26"/>
      <c r="Q34" s="26"/>
      <c r="R34" s="26"/>
      <c r="S34" s="26"/>
      <c r="T34" s="25"/>
      <c r="U34" s="25"/>
      <c r="V34" s="25"/>
    </row>
    <row r="35" spans="1:22" ht="12.75">
      <c r="A35" s="21">
        <v>395</v>
      </c>
      <c r="B35" s="23">
        <v>3.46</v>
      </c>
      <c r="C35" s="23">
        <v>2.24</v>
      </c>
      <c r="D35" s="23">
        <v>1.48</v>
      </c>
      <c r="E35" s="23">
        <v>1.04</v>
      </c>
      <c r="F35" s="23">
        <v>0.91</v>
      </c>
      <c r="G35" s="22">
        <v>3.78</v>
      </c>
      <c r="H35" s="22" t="s">
        <v>95</v>
      </c>
      <c r="I35" s="27"/>
      <c r="J35" s="63"/>
      <c r="K35" s="7"/>
      <c r="L35" s="7"/>
      <c r="M35" s="7"/>
      <c r="P35" s="26"/>
      <c r="Q35" s="26"/>
      <c r="R35" s="26"/>
      <c r="S35" s="26"/>
      <c r="T35" s="25"/>
      <c r="U35" s="25"/>
      <c r="V35" s="25"/>
    </row>
    <row r="36" spans="1:22" ht="12.75">
      <c r="A36" s="80" t="s">
        <v>49</v>
      </c>
      <c r="B36" s="93">
        <v>2.62</v>
      </c>
      <c r="C36" s="93">
        <v>1.89</v>
      </c>
      <c r="D36" s="93">
        <v>1.48</v>
      </c>
      <c r="E36" s="93">
        <v>1.21</v>
      </c>
      <c r="F36" s="93">
        <v>1.03</v>
      </c>
      <c r="G36" s="93">
        <v>3.22</v>
      </c>
      <c r="H36" s="95" t="s">
        <v>38</v>
      </c>
      <c r="I36" s="27"/>
      <c r="J36" s="63"/>
      <c r="K36" s="7"/>
      <c r="L36" s="7"/>
      <c r="M36" s="7"/>
      <c r="N36" s="24"/>
      <c r="O36" s="26"/>
      <c r="P36" s="26"/>
      <c r="Q36" s="26"/>
      <c r="R36" s="26"/>
      <c r="S36" s="26"/>
      <c r="T36" s="25"/>
      <c r="U36" s="25"/>
      <c r="V36" s="25"/>
    </row>
    <row r="37" spans="1:22" ht="12.75">
      <c r="A37" s="28" t="s">
        <v>150</v>
      </c>
      <c r="B37" s="38">
        <v>3.82</v>
      </c>
      <c r="C37" s="39">
        <v>2.18</v>
      </c>
      <c r="D37" s="39">
        <v>1.41</v>
      </c>
      <c r="E37" s="39">
        <v>1.03</v>
      </c>
      <c r="F37" s="39">
        <v>0.86</v>
      </c>
      <c r="G37" s="39">
        <v>3.78</v>
      </c>
      <c r="H37" s="21" t="s">
        <v>46</v>
      </c>
      <c r="I37" s="28"/>
      <c r="J37" s="44"/>
      <c r="K37" s="7"/>
      <c r="L37" s="7"/>
      <c r="M37" s="7"/>
      <c r="S37" s="27"/>
      <c r="T37" s="25"/>
      <c r="U37" s="25"/>
      <c r="V37" s="25"/>
    </row>
    <row r="38" spans="1:22" ht="12.75">
      <c r="A38" s="28" t="s">
        <v>149</v>
      </c>
      <c r="B38" s="38">
        <v>3.82</v>
      </c>
      <c r="C38" s="39">
        <v>2.18</v>
      </c>
      <c r="D38" s="39">
        <v>1.41</v>
      </c>
      <c r="E38" s="39">
        <v>1.03</v>
      </c>
      <c r="F38" s="39">
        <v>0.86</v>
      </c>
      <c r="G38" s="39">
        <v>3.78</v>
      </c>
      <c r="H38" s="21" t="s">
        <v>48</v>
      </c>
      <c r="I38" s="28"/>
      <c r="J38" s="60"/>
      <c r="K38" s="7"/>
      <c r="L38" s="7"/>
      <c r="M38" s="7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8" t="s">
        <v>148</v>
      </c>
      <c r="B39" s="38">
        <v>3.82</v>
      </c>
      <c r="C39" s="39">
        <v>2.18</v>
      </c>
      <c r="D39" s="39">
        <v>1.41</v>
      </c>
      <c r="E39" s="39">
        <v>1.03</v>
      </c>
      <c r="F39" s="39">
        <v>0.86</v>
      </c>
      <c r="G39" s="39">
        <v>3.44</v>
      </c>
      <c r="H39" s="21" t="s">
        <v>47</v>
      </c>
      <c r="I39" s="28"/>
      <c r="J39" s="61"/>
      <c r="K39" s="7"/>
      <c r="L39" s="7"/>
      <c r="M39" s="7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8" t="s">
        <v>147</v>
      </c>
      <c r="B40" s="38">
        <v>3.82</v>
      </c>
      <c r="C40" s="39">
        <v>2.18</v>
      </c>
      <c r="D40" s="39">
        <v>1.41</v>
      </c>
      <c r="E40" s="39">
        <v>1.03</v>
      </c>
      <c r="F40" s="39">
        <v>0.86</v>
      </c>
      <c r="G40" s="39">
        <v>3.78</v>
      </c>
      <c r="H40" s="21" t="s">
        <v>50</v>
      </c>
      <c r="I40" s="28"/>
      <c r="J40" s="44"/>
      <c r="K40" s="7"/>
      <c r="L40" s="7"/>
      <c r="M40" s="7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28" t="s">
        <v>146</v>
      </c>
      <c r="B41" s="38">
        <v>3.82</v>
      </c>
      <c r="C41" s="39">
        <v>2.18</v>
      </c>
      <c r="D41" s="39">
        <v>1.41</v>
      </c>
      <c r="E41" s="39">
        <v>1.03</v>
      </c>
      <c r="F41" s="39">
        <v>0.86</v>
      </c>
      <c r="G41" s="39">
        <v>3.78</v>
      </c>
      <c r="H41" s="21" t="s">
        <v>43</v>
      </c>
      <c r="I41" s="28"/>
      <c r="J41" s="56"/>
      <c r="K41" s="7"/>
      <c r="L41" s="7"/>
      <c r="M41" s="7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8" t="s">
        <v>145</v>
      </c>
      <c r="B42" s="39">
        <v>3.82</v>
      </c>
      <c r="C42" s="39">
        <v>2.18</v>
      </c>
      <c r="D42" s="39">
        <v>1.41</v>
      </c>
      <c r="E42" s="39">
        <v>1.03</v>
      </c>
      <c r="F42" s="39">
        <v>0.86</v>
      </c>
      <c r="G42" s="39">
        <v>3.78</v>
      </c>
      <c r="H42" s="21" t="s">
        <v>43</v>
      </c>
      <c r="I42" s="28"/>
      <c r="J42" s="56"/>
      <c r="K42" s="7"/>
      <c r="L42" s="7"/>
      <c r="M42" s="7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.75">
      <c r="A43" s="28" t="s">
        <v>144</v>
      </c>
      <c r="B43" s="39">
        <v>3.82</v>
      </c>
      <c r="C43" s="39">
        <v>2.18</v>
      </c>
      <c r="D43" s="39">
        <v>1.41</v>
      </c>
      <c r="E43" s="39">
        <v>1.03</v>
      </c>
      <c r="F43" s="39">
        <v>0.86</v>
      </c>
      <c r="G43" s="39">
        <v>3.78</v>
      </c>
      <c r="H43" s="21" t="s">
        <v>43</v>
      </c>
      <c r="I43" s="28"/>
      <c r="J43" s="56"/>
      <c r="K43" s="7"/>
      <c r="L43" s="7"/>
      <c r="M43" s="7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.75">
      <c r="A44" s="28" t="s">
        <v>143</v>
      </c>
      <c r="B44" s="39">
        <v>3.82</v>
      </c>
      <c r="C44" s="39">
        <v>2.18</v>
      </c>
      <c r="D44" s="39">
        <v>1.41</v>
      </c>
      <c r="E44" s="39">
        <v>1.03</v>
      </c>
      <c r="F44" s="39">
        <v>0.86</v>
      </c>
      <c r="G44" s="39">
        <v>3.78</v>
      </c>
      <c r="H44" s="21" t="s">
        <v>43</v>
      </c>
      <c r="I44" s="28"/>
      <c r="J44" s="56"/>
      <c r="K44" s="7"/>
      <c r="L44" s="7"/>
      <c r="M44" s="7"/>
      <c r="N44" s="25"/>
      <c r="O44" s="25"/>
      <c r="P44" s="25"/>
      <c r="Q44" s="25"/>
      <c r="R44" s="25"/>
      <c r="S44" s="25"/>
      <c r="T44" s="26"/>
      <c r="U44" s="25"/>
      <c r="V44" s="25"/>
    </row>
    <row r="45" spans="1:22" ht="12.75">
      <c r="A45" s="77" t="s">
        <v>142</v>
      </c>
      <c r="B45" s="96">
        <v>3.82</v>
      </c>
      <c r="C45" s="96">
        <v>2.18</v>
      </c>
      <c r="D45" s="96">
        <v>1.41</v>
      </c>
      <c r="E45" s="96">
        <v>1.03</v>
      </c>
      <c r="F45" s="96">
        <v>0.86</v>
      </c>
      <c r="G45" s="96">
        <v>3.44</v>
      </c>
      <c r="H45" s="80" t="s">
        <v>43</v>
      </c>
      <c r="I45" s="77"/>
      <c r="J45" s="55"/>
      <c r="K45" s="7"/>
      <c r="L45" s="7"/>
      <c r="M45" s="7"/>
      <c r="N45" s="25"/>
      <c r="O45" s="25"/>
      <c r="P45" s="25"/>
      <c r="Q45" s="25"/>
      <c r="R45" s="25"/>
      <c r="S45" s="25"/>
      <c r="T45" s="26"/>
      <c r="U45" s="25"/>
      <c r="V45" s="25"/>
    </row>
    <row r="46" spans="1:22" ht="12.75">
      <c r="A46" s="28" t="s">
        <v>141</v>
      </c>
      <c r="B46" s="39">
        <v>3.82</v>
      </c>
      <c r="C46" s="39">
        <v>2.18</v>
      </c>
      <c r="D46" s="39">
        <v>1.41</v>
      </c>
      <c r="E46" s="39">
        <v>1.03</v>
      </c>
      <c r="F46" s="39">
        <v>0.86</v>
      </c>
      <c r="G46" s="39">
        <v>3.78</v>
      </c>
      <c r="H46" s="21" t="s">
        <v>43</v>
      </c>
      <c r="I46" s="28"/>
      <c r="J46" s="56"/>
      <c r="K46" s="7"/>
      <c r="L46" s="7"/>
      <c r="M46" s="7"/>
      <c r="N46" s="25"/>
      <c r="O46" s="25"/>
      <c r="P46" s="25"/>
      <c r="Q46" s="25"/>
      <c r="R46" s="25"/>
      <c r="S46" s="25"/>
      <c r="T46" s="26"/>
      <c r="U46" s="25"/>
      <c r="V46" s="25"/>
    </row>
    <row r="47" spans="1:22" ht="12.75">
      <c r="A47" s="28" t="s">
        <v>140</v>
      </c>
      <c r="B47" s="39">
        <v>3.82</v>
      </c>
      <c r="C47" s="39">
        <v>2.18</v>
      </c>
      <c r="D47" s="39">
        <v>1.41</v>
      </c>
      <c r="E47" s="39">
        <v>1.03</v>
      </c>
      <c r="F47" s="39">
        <v>0.86</v>
      </c>
      <c r="G47" s="39">
        <v>3.56</v>
      </c>
      <c r="H47" s="21" t="s">
        <v>43</v>
      </c>
      <c r="I47" s="28"/>
      <c r="J47" s="56"/>
      <c r="K47" s="7"/>
      <c r="L47" s="7"/>
      <c r="M47" s="7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28" t="s">
        <v>139</v>
      </c>
      <c r="B48" s="39">
        <v>3.82</v>
      </c>
      <c r="C48" s="39">
        <v>2.18</v>
      </c>
      <c r="D48" s="39">
        <v>1.41</v>
      </c>
      <c r="E48" s="39">
        <v>1.03</v>
      </c>
      <c r="F48" s="39">
        <v>0.86</v>
      </c>
      <c r="G48" s="39">
        <v>3.56</v>
      </c>
      <c r="H48" s="21" t="s">
        <v>43</v>
      </c>
      <c r="I48" s="28"/>
      <c r="J48" s="56"/>
      <c r="K48" s="7"/>
      <c r="L48" s="7"/>
      <c r="M48" s="7"/>
      <c r="N48" s="25"/>
      <c r="O48" s="25"/>
      <c r="P48" s="25"/>
      <c r="Q48" s="25"/>
      <c r="R48" s="25"/>
      <c r="S48" s="25"/>
      <c r="T48" s="25"/>
      <c r="U48" s="25"/>
      <c r="V48" s="25"/>
    </row>
    <row r="49" spans="1:13" ht="12.75">
      <c r="A49" s="28" t="s">
        <v>138</v>
      </c>
      <c r="B49" s="64">
        <v>3.82</v>
      </c>
      <c r="C49" s="64">
        <v>2.18</v>
      </c>
      <c r="D49" s="64">
        <v>1.41</v>
      </c>
      <c r="E49" s="64">
        <v>1.03</v>
      </c>
      <c r="F49" s="64">
        <v>0.86</v>
      </c>
      <c r="G49" s="64">
        <v>3.78</v>
      </c>
      <c r="H49" s="21" t="s">
        <v>43</v>
      </c>
      <c r="I49" s="28"/>
      <c r="J49" s="56"/>
      <c r="K49" s="7"/>
      <c r="L49" s="7"/>
      <c r="M49" s="7"/>
    </row>
    <row r="50" spans="1:13" ht="12.75">
      <c r="A50" s="28" t="s">
        <v>137</v>
      </c>
      <c r="B50" s="64">
        <v>3.82</v>
      </c>
      <c r="C50" s="64">
        <v>2.18</v>
      </c>
      <c r="D50" s="64">
        <v>1.41</v>
      </c>
      <c r="E50" s="64">
        <v>1.03</v>
      </c>
      <c r="F50" s="64">
        <v>0.86</v>
      </c>
      <c r="G50" s="64">
        <v>3.78</v>
      </c>
      <c r="H50" s="21" t="s">
        <v>43</v>
      </c>
      <c r="I50" s="28"/>
      <c r="J50" s="56"/>
      <c r="K50" s="7"/>
      <c r="L50" s="7"/>
      <c r="M50" s="7"/>
    </row>
    <row r="51" spans="1:13" ht="12.75">
      <c r="A51" s="28" t="s">
        <v>136</v>
      </c>
      <c r="B51" s="64">
        <v>3.82</v>
      </c>
      <c r="C51" s="64">
        <v>2.18</v>
      </c>
      <c r="D51" s="64">
        <v>1.41</v>
      </c>
      <c r="E51" s="64">
        <v>1.03</v>
      </c>
      <c r="F51" s="64">
        <v>0.86</v>
      </c>
      <c r="G51" s="64">
        <v>3.44</v>
      </c>
      <c r="H51" s="21" t="s">
        <v>43</v>
      </c>
      <c r="I51" s="28"/>
      <c r="J51" s="56"/>
      <c r="K51" s="7"/>
      <c r="L51" s="7"/>
      <c r="M51" s="7"/>
    </row>
    <row r="52" spans="1:13" ht="12.75">
      <c r="A52" s="28" t="s">
        <v>135</v>
      </c>
      <c r="B52" s="65">
        <v>3.82</v>
      </c>
      <c r="C52" s="65">
        <v>2.18</v>
      </c>
      <c r="D52" s="65">
        <v>1.41</v>
      </c>
      <c r="E52" s="65">
        <v>1.03</v>
      </c>
      <c r="F52" s="65">
        <v>0.86</v>
      </c>
      <c r="G52" s="65">
        <v>3.78</v>
      </c>
      <c r="H52" s="21" t="s">
        <v>43</v>
      </c>
      <c r="I52" s="28"/>
      <c r="J52" s="56"/>
      <c r="K52" s="7"/>
      <c r="L52" s="7"/>
      <c r="M52" s="7"/>
    </row>
    <row r="53" spans="1:13" ht="12.75">
      <c r="A53" s="28" t="s">
        <v>134</v>
      </c>
      <c r="B53" s="65">
        <v>3.82</v>
      </c>
      <c r="C53" s="65">
        <v>2.18</v>
      </c>
      <c r="D53" s="65">
        <v>1.41</v>
      </c>
      <c r="E53" s="65">
        <v>1.03</v>
      </c>
      <c r="F53" s="65">
        <v>0.86</v>
      </c>
      <c r="G53" s="65">
        <v>3.44</v>
      </c>
      <c r="H53" s="21" t="s">
        <v>43</v>
      </c>
      <c r="I53" s="28"/>
      <c r="J53" s="55"/>
      <c r="K53" s="7"/>
      <c r="L53" s="7"/>
      <c r="M53" s="7"/>
    </row>
    <row r="54" spans="1:13" ht="12.75">
      <c r="A54" s="28" t="s">
        <v>133</v>
      </c>
      <c r="B54" s="65">
        <v>3.82</v>
      </c>
      <c r="C54" s="65">
        <v>2.18</v>
      </c>
      <c r="D54" s="65">
        <v>1.41</v>
      </c>
      <c r="E54" s="65">
        <v>1.03</v>
      </c>
      <c r="F54" s="65">
        <v>0.86</v>
      </c>
      <c r="G54" s="65">
        <v>3.78</v>
      </c>
      <c r="H54" s="21" t="s">
        <v>43</v>
      </c>
      <c r="I54" s="28"/>
      <c r="J54" s="56"/>
      <c r="K54" s="7"/>
      <c r="L54" s="7"/>
      <c r="M54" s="7"/>
    </row>
    <row r="55" spans="1:13" ht="12.75">
      <c r="A55" s="28" t="s">
        <v>132</v>
      </c>
      <c r="B55" s="65">
        <v>3.82</v>
      </c>
      <c r="C55" s="65">
        <v>2.18</v>
      </c>
      <c r="D55" s="65">
        <v>1.41</v>
      </c>
      <c r="E55" s="65">
        <v>1.03</v>
      </c>
      <c r="F55" s="65">
        <v>0.86</v>
      </c>
      <c r="G55" s="65">
        <v>3.78</v>
      </c>
      <c r="H55" s="21" t="s">
        <v>43</v>
      </c>
      <c r="I55" s="28"/>
      <c r="J55" s="56"/>
      <c r="K55" s="7"/>
      <c r="L55" s="7"/>
      <c r="M55" s="7"/>
    </row>
    <row r="56" spans="1:13" ht="12.75">
      <c r="A56" s="28" t="s">
        <v>53</v>
      </c>
      <c r="B56" s="65">
        <v>3.82</v>
      </c>
      <c r="C56" s="65">
        <v>2.18</v>
      </c>
      <c r="D56" s="65">
        <v>1.41</v>
      </c>
      <c r="E56" s="65">
        <v>1.03</v>
      </c>
      <c r="F56" s="65">
        <v>0.86</v>
      </c>
      <c r="G56" s="65">
        <f>33/8</f>
        <v>4.125</v>
      </c>
      <c r="H56" s="21" t="s">
        <v>54</v>
      </c>
      <c r="I56" s="28"/>
      <c r="J56" s="56"/>
      <c r="K56" s="7"/>
      <c r="L56" s="7"/>
      <c r="M56" s="7"/>
    </row>
    <row r="57" spans="1:13" ht="12.75">
      <c r="A57" s="94" t="s">
        <v>131</v>
      </c>
      <c r="B57" s="88">
        <v>4.09</v>
      </c>
      <c r="C57" s="78">
        <v>2.18</v>
      </c>
      <c r="D57" s="78">
        <v>1.41</v>
      </c>
      <c r="E57" s="88">
        <v>0.97</v>
      </c>
      <c r="F57" s="78">
        <v>0.78</v>
      </c>
      <c r="G57" s="88">
        <v>3.22</v>
      </c>
      <c r="H57" s="80" t="s">
        <v>43</v>
      </c>
      <c r="I57" s="77"/>
      <c r="J57" s="55"/>
      <c r="K57" s="7"/>
      <c r="L57" s="7"/>
      <c r="M57" s="7"/>
    </row>
    <row r="58" spans="1:13" ht="12.75">
      <c r="A58" s="28" t="s">
        <v>130</v>
      </c>
      <c r="B58" s="66">
        <v>4.09</v>
      </c>
      <c r="C58" s="65">
        <v>2.18</v>
      </c>
      <c r="D58" s="65">
        <v>1.41</v>
      </c>
      <c r="E58" s="66">
        <v>0.97</v>
      </c>
      <c r="F58" s="65">
        <v>0.78</v>
      </c>
      <c r="G58" s="65">
        <v>3.44</v>
      </c>
      <c r="H58" s="21" t="s">
        <v>43</v>
      </c>
      <c r="I58" s="28"/>
      <c r="J58" s="56"/>
      <c r="K58" s="7"/>
      <c r="L58" s="7"/>
      <c r="M58" s="7"/>
    </row>
    <row r="59" spans="1:13" ht="12.75">
      <c r="A59" s="77" t="s">
        <v>129</v>
      </c>
      <c r="B59" s="78">
        <v>3.82</v>
      </c>
      <c r="C59" s="78">
        <v>2.18</v>
      </c>
      <c r="D59" s="78">
        <v>1.41</v>
      </c>
      <c r="E59" s="88">
        <v>0.97</v>
      </c>
      <c r="F59" s="78">
        <v>0.78</v>
      </c>
      <c r="G59" s="78">
        <v>3.44</v>
      </c>
      <c r="H59" s="80" t="s">
        <v>43</v>
      </c>
      <c r="I59" s="77"/>
      <c r="J59" s="55"/>
      <c r="K59" s="7"/>
      <c r="L59" s="7"/>
      <c r="M59" s="7"/>
    </row>
    <row r="60" spans="1:13" ht="12.75">
      <c r="A60" s="28" t="s">
        <v>128</v>
      </c>
      <c r="B60" s="66">
        <v>4.09</v>
      </c>
      <c r="C60" s="65">
        <v>2.18</v>
      </c>
      <c r="D60" s="65">
        <v>1.41</v>
      </c>
      <c r="E60" s="66">
        <v>0.97</v>
      </c>
      <c r="F60" s="65">
        <v>0.78</v>
      </c>
      <c r="G60" s="65">
        <v>3.44</v>
      </c>
      <c r="H60" s="21" t="s">
        <v>43</v>
      </c>
      <c r="I60" s="28"/>
      <c r="J60" s="56"/>
      <c r="K60" s="7"/>
      <c r="L60" s="7"/>
      <c r="M60" s="7"/>
    </row>
    <row r="61" spans="1:13" ht="12.75">
      <c r="A61" s="28" t="s">
        <v>127</v>
      </c>
      <c r="B61" s="66">
        <v>4.09</v>
      </c>
      <c r="C61" s="65">
        <v>2.18</v>
      </c>
      <c r="D61" s="65">
        <v>1.41</v>
      </c>
      <c r="E61" s="65">
        <v>1.03</v>
      </c>
      <c r="F61" s="65">
        <v>0.86</v>
      </c>
      <c r="G61" s="65">
        <v>3.56</v>
      </c>
      <c r="H61" s="21" t="s">
        <v>43</v>
      </c>
      <c r="I61" s="28"/>
      <c r="J61" s="56"/>
      <c r="K61" s="7"/>
      <c r="L61" s="7"/>
      <c r="M61" s="7"/>
    </row>
    <row r="62" spans="1:13" ht="12.75">
      <c r="A62" s="28" t="s">
        <v>126</v>
      </c>
      <c r="B62" s="66">
        <v>4.09</v>
      </c>
      <c r="C62" s="65">
        <v>2.18</v>
      </c>
      <c r="D62" s="65">
        <v>1.41</v>
      </c>
      <c r="E62" s="65">
        <v>1.03</v>
      </c>
      <c r="F62" s="65">
        <v>0.86</v>
      </c>
      <c r="G62" s="65">
        <v>3.56</v>
      </c>
      <c r="H62" s="21" t="s">
        <v>43</v>
      </c>
      <c r="I62" s="28"/>
      <c r="J62" s="56"/>
      <c r="K62" s="7"/>
      <c r="L62" s="7"/>
      <c r="M62" s="7"/>
    </row>
    <row r="63" spans="1:13" ht="12.75">
      <c r="A63" s="28" t="s">
        <v>125</v>
      </c>
      <c r="B63" s="66">
        <v>4.09</v>
      </c>
      <c r="C63" s="65">
        <v>2.18</v>
      </c>
      <c r="D63" s="65">
        <v>1.41</v>
      </c>
      <c r="E63" s="65">
        <v>1.03</v>
      </c>
      <c r="F63" s="65">
        <v>0.86</v>
      </c>
      <c r="G63" s="65">
        <v>3.78</v>
      </c>
      <c r="H63" s="21" t="s">
        <v>43</v>
      </c>
      <c r="I63" s="28"/>
      <c r="J63" s="56"/>
      <c r="K63" s="7"/>
      <c r="L63" s="7"/>
      <c r="M63" s="7"/>
    </row>
    <row r="64" spans="1:13" ht="12.75">
      <c r="A64" s="28" t="s">
        <v>124</v>
      </c>
      <c r="B64" s="66">
        <v>4.09</v>
      </c>
      <c r="C64" s="65">
        <v>2.18</v>
      </c>
      <c r="D64" s="65">
        <v>1.41</v>
      </c>
      <c r="E64" s="65">
        <v>1.03</v>
      </c>
      <c r="F64" s="65">
        <v>0.86</v>
      </c>
      <c r="G64" s="65">
        <v>3.78</v>
      </c>
      <c r="H64" s="21" t="s">
        <v>43</v>
      </c>
      <c r="I64" s="28"/>
      <c r="J64" s="56"/>
      <c r="K64" s="7"/>
      <c r="L64" s="7"/>
      <c r="M64" s="7"/>
    </row>
    <row r="65" spans="1:13" ht="12.75">
      <c r="A65" s="28" t="s">
        <v>123</v>
      </c>
      <c r="B65" s="66">
        <v>4.09</v>
      </c>
      <c r="C65" s="65">
        <v>2.18</v>
      </c>
      <c r="D65" s="65">
        <v>1.41</v>
      </c>
      <c r="E65" s="65">
        <v>1.03</v>
      </c>
      <c r="F65" s="65">
        <v>0.86</v>
      </c>
      <c r="G65" s="65">
        <v>3.78</v>
      </c>
      <c r="H65" s="21" t="s">
        <v>43</v>
      </c>
      <c r="I65" s="28"/>
      <c r="J65" s="56"/>
      <c r="K65" s="7"/>
      <c r="L65" s="7"/>
      <c r="M65" s="7"/>
    </row>
    <row r="66" spans="1:13" ht="12.75">
      <c r="A66" s="28" t="s">
        <v>122</v>
      </c>
      <c r="B66" s="66">
        <v>4.09</v>
      </c>
      <c r="C66" s="65">
        <v>2.18</v>
      </c>
      <c r="D66" s="65">
        <v>1.41</v>
      </c>
      <c r="E66" s="65">
        <v>1.03</v>
      </c>
      <c r="F66" s="65">
        <v>0.86</v>
      </c>
      <c r="G66" s="65">
        <v>3.44</v>
      </c>
      <c r="H66" s="21" t="s">
        <v>43</v>
      </c>
      <c r="I66" s="28"/>
      <c r="J66" s="55"/>
      <c r="K66" s="7"/>
      <c r="L66" s="7"/>
      <c r="M66" s="7"/>
    </row>
    <row r="67" spans="1:13" ht="12.75">
      <c r="A67" s="28" t="s">
        <v>121</v>
      </c>
      <c r="B67" s="66">
        <v>4.09</v>
      </c>
      <c r="C67" s="65">
        <v>2.18</v>
      </c>
      <c r="D67" s="65">
        <v>1.41</v>
      </c>
      <c r="E67" s="65">
        <v>1.03</v>
      </c>
      <c r="F67" s="65">
        <v>0.86</v>
      </c>
      <c r="G67" s="65">
        <v>3.78</v>
      </c>
      <c r="H67" s="21" t="s">
        <v>43</v>
      </c>
      <c r="I67" s="28"/>
      <c r="J67" s="56"/>
      <c r="K67" s="7"/>
      <c r="L67" s="7"/>
      <c r="M67" s="7"/>
    </row>
    <row r="68" spans="1:13" ht="12.75">
      <c r="A68" s="28" t="s">
        <v>120</v>
      </c>
      <c r="B68" s="65">
        <v>3.82</v>
      </c>
      <c r="C68" s="65">
        <v>2.18</v>
      </c>
      <c r="D68" s="65">
        <v>1.41</v>
      </c>
      <c r="E68" s="66">
        <v>0.97</v>
      </c>
      <c r="F68" s="65"/>
      <c r="G68" s="65">
        <v>3.78</v>
      </c>
      <c r="H68" s="21" t="s">
        <v>43</v>
      </c>
      <c r="I68" s="28"/>
      <c r="J68" s="56"/>
      <c r="K68" s="7"/>
      <c r="L68" s="7"/>
      <c r="M68" s="7"/>
    </row>
    <row r="69" spans="1:13" ht="12.75">
      <c r="A69" s="28" t="s">
        <v>119</v>
      </c>
      <c r="B69" s="65">
        <v>3.82</v>
      </c>
      <c r="C69" s="65">
        <v>2.18</v>
      </c>
      <c r="D69" s="65">
        <v>1.41</v>
      </c>
      <c r="E69" s="66">
        <v>0.97</v>
      </c>
      <c r="F69" s="65"/>
      <c r="G69" s="65">
        <v>3.78</v>
      </c>
      <c r="H69" s="21" t="s">
        <v>43</v>
      </c>
      <c r="I69" s="28"/>
      <c r="J69" s="56"/>
      <c r="K69" s="7"/>
      <c r="L69" s="7"/>
      <c r="M69" s="7"/>
    </row>
    <row r="70" spans="1:13" ht="12.75">
      <c r="A70" s="28" t="s">
        <v>118</v>
      </c>
      <c r="B70" s="65">
        <v>3.82</v>
      </c>
      <c r="C70" s="65">
        <v>2.18</v>
      </c>
      <c r="D70" s="65">
        <v>1.41</v>
      </c>
      <c r="E70" s="66">
        <v>0.97</v>
      </c>
      <c r="F70" s="65"/>
      <c r="G70" s="65">
        <v>3.44</v>
      </c>
      <c r="H70" s="21" t="s">
        <v>43</v>
      </c>
      <c r="I70" s="28"/>
      <c r="J70" s="55"/>
      <c r="K70" s="7"/>
      <c r="L70" s="7"/>
      <c r="M70" s="7"/>
    </row>
    <row r="71" spans="1:13" ht="12.75">
      <c r="A71" s="28" t="s">
        <v>117</v>
      </c>
      <c r="B71" s="66">
        <v>4.09</v>
      </c>
      <c r="C71" s="65">
        <v>2.18</v>
      </c>
      <c r="D71" s="65">
        <v>1.41</v>
      </c>
      <c r="E71" s="66">
        <v>0.97</v>
      </c>
      <c r="F71" s="65"/>
      <c r="G71" s="65">
        <v>3.78</v>
      </c>
      <c r="H71" s="21" t="s">
        <v>43</v>
      </c>
      <c r="I71" s="22"/>
      <c r="J71" s="56"/>
      <c r="K71" s="7"/>
      <c r="L71" s="7"/>
      <c r="M71" s="7"/>
    </row>
    <row r="72" spans="1:13" ht="12.75">
      <c r="A72" s="28" t="s">
        <v>116</v>
      </c>
      <c r="B72" s="65">
        <v>3.82</v>
      </c>
      <c r="C72" s="65">
        <v>2.18</v>
      </c>
      <c r="D72" s="65">
        <v>1.41</v>
      </c>
      <c r="E72" s="65">
        <v>1.03</v>
      </c>
      <c r="F72" s="65">
        <v>0.86</v>
      </c>
      <c r="G72" s="64">
        <f>34/9</f>
        <v>3.7777777777777777</v>
      </c>
      <c r="H72" s="21" t="s">
        <v>62</v>
      </c>
      <c r="I72" s="28"/>
      <c r="J72" s="44"/>
      <c r="K72" s="7"/>
      <c r="L72" s="7"/>
      <c r="M72" s="7"/>
    </row>
    <row r="73" spans="1:13" ht="12.75">
      <c r="A73" s="28" t="s">
        <v>115</v>
      </c>
      <c r="B73" s="65">
        <v>3.82</v>
      </c>
      <c r="C73" s="65">
        <v>2.18</v>
      </c>
      <c r="D73" s="65">
        <v>1.41</v>
      </c>
      <c r="E73" s="65">
        <v>1.03</v>
      </c>
      <c r="F73" s="65">
        <v>0.86</v>
      </c>
      <c r="G73" s="64">
        <f>34/9</f>
        <v>3.7777777777777777</v>
      </c>
      <c r="H73" s="21" t="s">
        <v>63</v>
      </c>
      <c r="I73" s="28"/>
      <c r="J73" s="44"/>
      <c r="K73" s="7"/>
      <c r="L73" s="7"/>
      <c r="M73" s="7"/>
    </row>
    <row r="74" spans="1:13" ht="12.75">
      <c r="A74" s="28" t="s">
        <v>114</v>
      </c>
      <c r="B74" s="65">
        <v>3.82</v>
      </c>
      <c r="C74" s="65">
        <v>2.18</v>
      </c>
      <c r="D74" s="65">
        <v>1.41</v>
      </c>
      <c r="E74" s="65">
        <v>1.03</v>
      </c>
      <c r="F74" s="65">
        <v>0.86</v>
      </c>
      <c r="G74" s="64">
        <f>34/9</f>
        <v>3.7777777777777777</v>
      </c>
      <c r="H74" s="21" t="s">
        <v>64</v>
      </c>
      <c r="I74" s="28"/>
      <c r="J74" s="44"/>
      <c r="K74" s="22"/>
      <c r="L74" s="7"/>
      <c r="M74" s="7"/>
    </row>
    <row r="75" spans="1:13" ht="12.75">
      <c r="A75" s="77" t="s">
        <v>113</v>
      </c>
      <c r="B75" s="78">
        <v>3.82</v>
      </c>
      <c r="C75" s="78">
        <v>2.18</v>
      </c>
      <c r="D75" s="78">
        <v>1.41</v>
      </c>
      <c r="E75" s="78">
        <v>1.03</v>
      </c>
      <c r="F75" s="78">
        <v>0.86</v>
      </c>
      <c r="G75" s="79">
        <f>32/9</f>
        <v>3.5555555555555554</v>
      </c>
      <c r="H75" s="80" t="s">
        <v>65</v>
      </c>
      <c r="I75" s="77"/>
      <c r="J75" s="81"/>
      <c r="K75" s="7"/>
      <c r="L75" s="7"/>
      <c r="M75" s="7"/>
    </row>
    <row r="76" spans="1:13" ht="12.75">
      <c r="A76" s="28" t="s">
        <v>112</v>
      </c>
      <c r="B76" s="65">
        <v>3.82</v>
      </c>
      <c r="C76" s="65">
        <v>2.18</v>
      </c>
      <c r="D76" s="65">
        <v>1.41</v>
      </c>
      <c r="E76" s="65">
        <v>1.03</v>
      </c>
      <c r="F76" s="65">
        <v>0.86</v>
      </c>
      <c r="G76" s="64">
        <f>34/9</f>
        <v>3.7777777777777777</v>
      </c>
      <c r="H76" s="21" t="s">
        <v>66</v>
      </c>
      <c r="I76" s="28"/>
      <c r="J76" s="44"/>
      <c r="K76" s="7"/>
      <c r="L76" s="7"/>
      <c r="M76" s="7"/>
    </row>
    <row r="77" spans="1:13" ht="12.75">
      <c r="A77" s="28" t="s">
        <v>111</v>
      </c>
      <c r="B77" s="65">
        <v>3.82</v>
      </c>
      <c r="C77" s="65">
        <v>2.18</v>
      </c>
      <c r="D77" s="65">
        <v>1.41</v>
      </c>
      <c r="E77" s="65">
        <v>1.03</v>
      </c>
      <c r="F77" s="65">
        <v>0.86</v>
      </c>
      <c r="G77" s="64">
        <f>34/9</f>
        <v>3.7777777777777777</v>
      </c>
      <c r="H77" s="21" t="s">
        <v>63</v>
      </c>
      <c r="I77" s="28"/>
      <c r="J77" s="44"/>
      <c r="K77" s="7"/>
      <c r="L77" s="7"/>
      <c r="M77" s="7"/>
    </row>
    <row r="78" spans="1:13" ht="12.75">
      <c r="A78" s="77" t="s">
        <v>110</v>
      </c>
      <c r="B78" s="78">
        <v>3.82</v>
      </c>
      <c r="C78" s="78">
        <v>2.18</v>
      </c>
      <c r="D78" s="78">
        <v>1.41</v>
      </c>
      <c r="E78" s="78">
        <v>1.03</v>
      </c>
      <c r="F78" s="78">
        <v>0.86</v>
      </c>
      <c r="G78" s="79">
        <f>31/9</f>
        <v>3.4444444444444446</v>
      </c>
      <c r="H78" s="80" t="s">
        <v>67</v>
      </c>
      <c r="I78" s="77"/>
      <c r="J78" s="81"/>
      <c r="K78" s="7"/>
      <c r="L78" s="7"/>
      <c r="M78" s="7"/>
    </row>
    <row r="79" spans="1:13" ht="12.75">
      <c r="A79" s="28" t="s">
        <v>109</v>
      </c>
      <c r="B79" s="65">
        <v>3.82</v>
      </c>
      <c r="C79" s="65">
        <v>2.18</v>
      </c>
      <c r="D79" s="65">
        <v>1.41</v>
      </c>
      <c r="E79" s="65">
        <v>1.03</v>
      </c>
      <c r="F79" s="65">
        <v>0.86</v>
      </c>
      <c r="G79" s="64">
        <f>34/9</f>
        <v>3.7777777777777777</v>
      </c>
      <c r="H79" s="21" t="s">
        <v>67</v>
      </c>
      <c r="I79" s="28"/>
      <c r="J79" s="44"/>
      <c r="K79" s="7"/>
      <c r="L79" s="7"/>
      <c r="M79" s="7"/>
    </row>
    <row r="80" spans="1:13" ht="12.75">
      <c r="A80" s="77" t="s">
        <v>107</v>
      </c>
      <c r="B80" s="78">
        <v>3.82</v>
      </c>
      <c r="C80" s="78">
        <v>2.18</v>
      </c>
      <c r="D80" s="78">
        <v>1.41</v>
      </c>
      <c r="E80" s="78">
        <v>1.03</v>
      </c>
      <c r="F80" s="78">
        <v>0.86</v>
      </c>
      <c r="G80" s="79">
        <f>32/9</f>
        <v>3.5555555555555554</v>
      </c>
      <c r="H80" s="80" t="s">
        <v>65</v>
      </c>
      <c r="I80" s="85"/>
      <c r="J80" s="86"/>
      <c r="K80" s="7"/>
      <c r="L80" s="7"/>
      <c r="M80" s="7"/>
    </row>
    <row r="81" spans="1:13" ht="12.75">
      <c r="A81" s="77" t="s">
        <v>108</v>
      </c>
      <c r="B81" s="78">
        <v>3.82</v>
      </c>
      <c r="C81" s="78">
        <v>2.18</v>
      </c>
      <c r="D81" s="78">
        <v>1.41</v>
      </c>
      <c r="E81" s="78">
        <v>1.03</v>
      </c>
      <c r="F81" s="78">
        <v>0.86</v>
      </c>
      <c r="G81" s="79">
        <f>31/9</f>
        <v>3.4444444444444446</v>
      </c>
      <c r="H81" s="80" t="s">
        <v>68</v>
      </c>
      <c r="I81" s="82"/>
      <c r="J81" s="83"/>
      <c r="K81" s="84"/>
      <c r="L81" s="52"/>
      <c r="M81" s="52"/>
    </row>
    <row r="82" spans="1:13" ht="12.75">
      <c r="A82" s="28" t="s">
        <v>106</v>
      </c>
      <c r="B82" s="65">
        <v>3.82</v>
      </c>
      <c r="C82" s="65">
        <v>2.18</v>
      </c>
      <c r="D82" s="65">
        <v>1.41</v>
      </c>
      <c r="E82" s="65">
        <v>1.03</v>
      </c>
      <c r="F82" s="65">
        <v>0.86</v>
      </c>
      <c r="G82" s="64">
        <f>34/9</f>
        <v>3.7777777777777777</v>
      </c>
      <c r="H82" s="21" t="s">
        <v>69</v>
      </c>
      <c r="I82" s="54"/>
      <c r="J82" s="58"/>
      <c r="K82" s="57"/>
      <c r="L82" s="22"/>
      <c r="M82" s="52"/>
    </row>
    <row r="83" spans="1:13" ht="12.75">
      <c r="A83" s="28" t="s">
        <v>105</v>
      </c>
      <c r="B83" s="64">
        <f>42/11</f>
        <v>3.8181818181818183</v>
      </c>
      <c r="C83" s="65">
        <v>2.18</v>
      </c>
      <c r="D83" s="65">
        <v>1.41</v>
      </c>
      <c r="E83" s="65">
        <v>1.03</v>
      </c>
      <c r="F83" s="65">
        <v>0.86</v>
      </c>
      <c r="G83" s="64">
        <f>34/9</f>
        <v>3.7777777777777777</v>
      </c>
      <c r="H83" s="21" t="s">
        <v>70</v>
      </c>
      <c r="I83" s="28"/>
      <c r="J83" s="44"/>
      <c r="K83" s="52"/>
      <c r="L83" s="52"/>
      <c r="M83" s="52"/>
    </row>
    <row r="84" spans="1:13" ht="12.75">
      <c r="A84" s="28" t="s">
        <v>104</v>
      </c>
      <c r="B84" s="66">
        <v>4.09</v>
      </c>
      <c r="C84" s="65">
        <v>2.18</v>
      </c>
      <c r="D84" s="65">
        <v>1.41</v>
      </c>
      <c r="E84" s="67">
        <f aca="true" t="shared" si="4" ref="E84:E92">33/34</f>
        <v>0.9705882352941176</v>
      </c>
      <c r="F84" s="64">
        <f>31/36</f>
        <v>0.8611111111111112</v>
      </c>
      <c r="G84" s="65">
        <v>3.44</v>
      </c>
      <c r="H84" s="21" t="s">
        <v>71</v>
      </c>
      <c r="I84" s="28"/>
      <c r="J84" s="50"/>
      <c r="K84" s="52"/>
      <c r="L84" s="52"/>
      <c r="M84" s="52"/>
    </row>
    <row r="85" spans="1:13" ht="12.75">
      <c r="A85" s="28" t="s">
        <v>103</v>
      </c>
      <c r="B85" s="66">
        <v>4.09</v>
      </c>
      <c r="C85" s="65">
        <v>2.18</v>
      </c>
      <c r="D85" s="65">
        <v>1.41</v>
      </c>
      <c r="E85" s="67">
        <f t="shared" si="4"/>
        <v>0.9705882352941176</v>
      </c>
      <c r="F85" s="64">
        <f aca="true" t="shared" si="5" ref="F85:F92">29/37</f>
        <v>0.7837837837837838</v>
      </c>
      <c r="G85" s="65">
        <v>3.78</v>
      </c>
      <c r="H85" s="21" t="s">
        <v>73</v>
      </c>
      <c r="I85" s="28"/>
      <c r="J85" s="44"/>
      <c r="K85" s="52"/>
      <c r="L85" s="52"/>
      <c r="M85" s="52"/>
    </row>
    <row r="86" spans="1:13" ht="12.75">
      <c r="A86" s="28" t="s">
        <v>102</v>
      </c>
      <c r="B86" s="66">
        <v>4.09</v>
      </c>
      <c r="C86" s="65">
        <v>2.18</v>
      </c>
      <c r="D86" s="65">
        <v>1.41</v>
      </c>
      <c r="E86" s="67">
        <f t="shared" si="4"/>
        <v>0.9705882352941176</v>
      </c>
      <c r="F86" s="64">
        <f t="shared" si="5"/>
        <v>0.7837837837837838</v>
      </c>
      <c r="G86" s="65">
        <v>3.78</v>
      </c>
      <c r="H86" s="21" t="s">
        <v>72</v>
      </c>
      <c r="I86" s="51"/>
      <c r="J86" s="59"/>
      <c r="K86" s="52"/>
      <c r="L86" s="52"/>
      <c r="M86" s="52"/>
    </row>
    <row r="87" spans="1:13" ht="12.75">
      <c r="A87" s="28" t="s">
        <v>101</v>
      </c>
      <c r="B87" s="66">
        <v>4.09</v>
      </c>
      <c r="C87" s="65">
        <v>2.18</v>
      </c>
      <c r="D87" s="65">
        <v>1.41</v>
      </c>
      <c r="E87" s="67">
        <f t="shared" si="4"/>
        <v>0.9705882352941176</v>
      </c>
      <c r="F87" s="64">
        <f t="shared" si="5"/>
        <v>0.7837837837837838</v>
      </c>
      <c r="G87" s="65">
        <v>3.78</v>
      </c>
      <c r="H87" s="21" t="s">
        <v>74</v>
      </c>
      <c r="I87" s="28"/>
      <c r="J87" s="44"/>
      <c r="K87" s="22"/>
      <c r="L87" s="22"/>
      <c r="M87" s="52"/>
    </row>
    <row r="88" spans="1:13" ht="12.75">
      <c r="A88" s="28" t="s">
        <v>100</v>
      </c>
      <c r="B88" s="66">
        <v>4.09</v>
      </c>
      <c r="C88" s="65">
        <v>2.18</v>
      </c>
      <c r="D88" s="65">
        <v>1.41</v>
      </c>
      <c r="E88" s="67">
        <f t="shared" si="4"/>
        <v>0.9705882352941176</v>
      </c>
      <c r="F88" s="64">
        <f t="shared" si="5"/>
        <v>0.7837837837837838</v>
      </c>
      <c r="G88" s="64">
        <v>3.55</v>
      </c>
      <c r="H88" s="21" t="s">
        <v>65</v>
      </c>
      <c r="I88" s="28"/>
      <c r="J88" s="50"/>
      <c r="K88" s="52"/>
      <c r="L88" s="52"/>
      <c r="M88" s="52"/>
    </row>
    <row r="89" spans="1:13" ht="12.75">
      <c r="A89" s="87" t="s">
        <v>96</v>
      </c>
      <c r="B89" s="88">
        <v>4.09</v>
      </c>
      <c r="C89" s="78">
        <v>2.18</v>
      </c>
      <c r="D89" s="78">
        <v>1.41</v>
      </c>
      <c r="E89" s="89">
        <f t="shared" si="4"/>
        <v>0.9705882352941176</v>
      </c>
      <c r="F89" s="79">
        <f t="shared" si="5"/>
        <v>0.7837837837837838</v>
      </c>
      <c r="G89" s="89">
        <v>3.1</v>
      </c>
      <c r="H89" s="80" t="s">
        <v>67</v>
      </c>
      <c r="I89" s="77"/>
      <c r="J89" s="81"/>
      <c r="K89" s="52"/>
      <c r="L89" s="52"/>
      <c r="M89" s="52"/>
    </row>
    <row r="90" spans="1:13" ht="12.75">
      <c r="A90" s="28" t="s">
        <v>99</v>
      </c>
      <c r="B90" s="66">
        <v>4.09</v>
      </c>
      <c r="C90" s="64">
        <v>2.18</v>
      </c>
      <c r="D90" s="64">
        <v>1.41</v>
      </c>
      <c r="E90" s="67">
        <f t="shared" si="4"/>
        <v>0.9705882352941176</v>
      </c>
      <c r="F90" s="64">
        <f t="shared" si="5"/>
        <v>0.7837837837837838</v>
      </c>
      <c r="G90" s="65">
        <v>3.78</v>
      </c>
      <c r="H90" s="21" t="s">
        <v>67</v>
      </c>
      <c r="I90" s="28"/>
      <c r="J90" s="44"/>
      <c r="K90" s="52"/>
      <c r="L90" s="52"/>
      <c r="M90" s="52"/>
    </row>
    <row r="91" spans="1:13" ht="12.75">
      <c r="A91" s="87" t="s">
        <v>98</v>
      </c>
      <c r="B91" s="88">
        <v>4.09</v>
      </c>
      <c r="C91" s="79">
        <v>2.18</v>
      </c>
      <c r="D91" s="79">
        <v>1.41</v>
      </c>
      <c r="E91" s="89">
        <f t="shared" si="4"/>
        <v>0.9705882352941176</v>
      </c>
      <c r="F91" s="79">
        <f t="shared" si="5"/>
        <v>0.7837837837837838</v>
      </c>
      <c r="G91" s="78">
        <v>3.44</v>
      </c>
      <c r="H91" s="80" t="s">
        <v>75</v>
      </c>
      <c r="I91" s="77"/>
      <c r="J91" s="81"/>
      <c r="K91" s="93"/>
      <c r="L91" s="93"/>
      <c r="M91" s="52"/>
    </row>
    <row r="92" spans="1:13" ht="12.75">
      <c r="A92" s="28" t="s">
        <v>97</v>
      </c>
      <c r="B92" s="66">
        <v>4.09</v>
      </c>
      <c r="C92" s="64">
        <v>2.18</v>
      </c>
      <c r="D92" s="64">
        <v>1.41</v>
      </c>
      <c r="E92" s="67">
        <f t="shared" si="4"/>
        <v>0.9705882352941176</v>
      </c>
      <c r="F92" s="64">
        <f t="shared" si="5"/>
        <v>0.7837837837837838</v>
      </c>
      <c r="G92" s="65">
        <v>3.78</v>
      </c>
      <c r="H92" s="21" t="s">
        <v>62</v>
      </c>
      <c r="I92" s="28"/>
      <c r="J92" s="44"/>
      <c r="K92" s="52"/>
      <c r="L92" s="52"/>
      <c r="M92" s="52"/>
    </row>
    <row r="93" spans="1:13" ht="12.75">
      <c r="A93" s="77" t="s">
        <v>84</v>
      </c>
      <c r="B93" s="89">
        <v>4.09</v>
      </c>
      <c r="C93" s="79">
        <v>2.18</v>
      </c>
      <c r="D93" s="79">
        <v>1.41</v>
      </c>
      <c r="E93" s="79">
        <v>1.03</v>
      </c>
      <c r="F93" s="79">
        <v>0.86</v>
      </c>
      <c r="G93" s="78">
        <v>3.78</v>
      </c>
      <c r="H93" s="80" t="s">
        <v>42</v>
      </c>
      <c r="I93" s="77"/>
      <c r="J93" s="56"/>
      <c r="K93" s="52"/>
      <c r="L93" s="52"/>
      <c r="M93" s="53"/>
    </row>
    <row r="94" spans="1:13" ht="12.75">
      <c r="A94" s="77" t="s">
        <v>51</v>
      </c>
      <c r="B94" s="88">
        <v>4.09</v>
      </c>
      <c r="C94" s="79">
        <v>2.18</v>
      </c>
      <c r="D94" s="79">
        <v>1.41</v>
      </c>
      <c r="E94" s="89">
        <v>1.03</v>
      </c>
      <c r="F94" s="79">
        <v>0.86</v>
      </c>
      <c r="G94" s="79">
        <v>3.1</v>
      </c>
      <c r="H94" s="90" t="s">
        <v>52</v>
      </c>
      <c r="I94" s="91"/>
      <c r="J94" s="56"/>
      <c r="K94" s="52"/>
      <c r="L94" s="52"/>
      <c r="M94" s="52"/>
    </row>
    <row r="95" spans="1:13" ht="12.75">
      <c r="A95" s="77" t="s">
        <v>55</v>
      </c>
      <c r="B95" s="88">
        <v>4.09</v>
      </c>
      <c r="C95" s="79">
        <v>2.18</v>
      </c>
      <c r="D95" s="79">
        <v>1.41</v>
      </c>
      <c r="E95" s="89">
        <f>33/34</f>
        <v>0.9705882352941176</v>
      </c>
      <c r="F95" s="79">
        <f>29/37</f>
        <v>0.7837837837837838</v>
      </c>
      <c r="G95" s="79">
        <f>29/9</f>
        <v>3.2222222222222223</v>
      </c>
      <c r="H95" s="80" t="s">
        <v>59</v>
      </c>
      <c r="I95" s="77"/>
      <c r="J95" s="56"/>
      <c r="K95" s="52"/>
      <c r="L95" s="52"/>
      <c r="M95" s="52"/>
    </row>
    <row r="96" spans="1:13" ht="12.75">
      <c r="A96" s="77" t="s">
        <v>56</v>
      </c>
      <c r="B96" s="88">
        <v>4.09</v>
      </c>
      <c r="C96" s="79">
        <v>2.18</v>
      </c>
      <c r="D96" s="79">
        <v>1.41</v>
      </c>
      <c r="E96" s="89">
        <f>33/34</f>
        <v>0.9705882352941176</v>
      </c>
      <c r="F96" s="79">
        <f>29/37</f>
        <v>0.7837837837837838</v>
      </c>
      <c r="G96" s="79">
        <f>32/9</f>
        <v>3.5555555555555554</v>
      </c>
      <c r="H96" s="80" t="s">
        <v>61</v>
      </c>
      <c r="I96" s="77"/>
      <c r="J96" s="56"/>
      <c r="K96" s="52"/>
      <c r="L96" s="52"/>
      <c r="M96" s="52"/>
    </row>
    <row r="97" spans="1:13" ht="12.75">
      <c r="A97" s="77" t="s">
        <v>57</v>
      </c>
      <c r="B97" s="88">
        <v>4.09</v>
      </c>
      <c r="C97" s="79">
        <v>2.18</v>
      </c>
      <c r="D97" s="79">
        <v>1.41</v>
      </c>
      <c r="E97" s="89">
        <f>34/33</f>
        <v>1.0303030303030303</v>
      </c>
      <c r="F97" s="79">
        <v>0.86</v>
      </c>
      <c r="G97" s="79">
        <f>32/9</f>
        <v>3.5555555555555554</v>
      </c>
      <c r="H97" s="80" t="s">
        <v>60</v>
      </c>
      <c r="I97" s="77"/>
      <c r="J97" s="92"/>
      <c r="K97" s="52"/>
      <c r="L97" s="52"/>
      <c r="M97" s="52"/>
    </row>
    <row r="98" spans="1:13" ht="12.75">
      <c r="A98" s="28" t="s">
        <v>58</v>
      </c>
      <c r="B98" s="66">
        <v>4.09</v>
      </c>
      <c r="C98" s="64">
        <v>2.18</v>
      </c>
      <c r="D98" s="64">
        <v>1.41</v>
      </c>
      <c r="E98" s="67">
        <v>1.03</v>
      </c>
      <c r="F98" s="64">
        <v>0.86</v>
      </c>
      <c r="G98" s="64">
        <f>3.77777777777778</f>
        <v>3.77777777777778</v>
      </c>
      <c r="H98" s="41" t="s">
        <v>59</v>
      </c>
      <c r="I98" s="42"/>
      <c r="J98" s="52"/>
      <c r="K98" s="52"/>
      <c r="L98" s="52"/>
      <c r="M98" s="52"/>
    </row>
    <row r="99" spans="1:13" ht="12.75">
      <c r="A99" s="28" t="s">
        <v>76</v>
      </c>
      <c r="B99" s="68">
        <v>2.83</v>
      </c>
      <c r="C99" s="71">
        <v>1.81</v>
      </c>
      <c r="D99" s="72">
        <v>1.26</v>
      </c>
      <c r="E99" s="71">
        <v>1</v>
      </c>
      <c r="F99" s="71">
        <v>0.825</v>
      </c>
      <c r="G99" s="70" t="s">
        <v>81</v>
      </c>
      <c r="H99" s="41" t="s">
        <v>92</v>
      </c>
      <c r="I99" s="22"/>
      <c r="J99" s="22"/>
      <c r="K99" s="22"/>
      <c r="L99" s="22"/>
      <c r="M99" s="52"/>
    </row>
    <row r="100" spans="1:13" ht="12.75">
      <c r="A100" s="28" t="s">
        <v>91</v>
      </c>
      <c r="B100" s="68" t="s">
        <v>85</v>
      </c>
      <c r="C100" s="71" t="s">
        <v>86</v>
      </c>
      <c r="D100" s="72" t="s">
        <v>87</v>
      </c>
      <c r="E100" s="71" t="s">
        <v>88</v>
      </c>
      <c r="F100" s="71" t="s">
        <v>89</v>
      </c>
      <c r="G100" s="70" t="s">
        <v>81</v>
      </c>
      <c r="H100" s="49" t="s">
        <v>90</v>
      </c>
      <c r="I100" s="22"/>
      <c r="J100" s="22"/>
      <c r="K100" s="22"/>
      <c r="L100" s="52"/>
      <c r="M100" s="52"/>
    </row>
    <row r="101" spans="1:13" ht="12.75">
      <c r="A101" s="28" t="s">
        <v>151</v>
      </c>
      <c r="B101" s="68" t="s">
        <v>152</v>
      </c>
      <c r="C101" s="71">
        <v>1.81</v>
      </c>
      <c r="D101" s="72">
        <v>1.25</v>
      </c>
      <c r="E101" s="71">
        <v>1</v>
      </c>
      <c r="F101" s="71">
        <v>0.82</v>
      </c>
      <c r="G101" s="70" t="s">
        <v>153</v>
      </c>
      <c r="H101" s="41" t="s">
        <v>154</v>
      </c>
      <c r="I101" s="22"/>
      <c r="J101" s="22"/>
      <c r="K101" s="22"/>
      <c r="L101" s="52"/>
      <c r="M101" s="52"/>
    </row>
    <row r="102" spans="1:13" ht="12.75">
      <c r="A102" s="43" t="s">
        <v>80</v>
      </c>
      <c r="B102" s="68">
        <v>2.39</v>
      </c>
      <c r="C102" s="71">
        <v>1.54</v>
      </c>
      <c r="D102" s="71">
        <v>1.21</v>
      </c>
      <c r="E102" s="71">
        <v>1</v>
      </c>
      <c r="F102" s="71">
        <v>0.91</v>
      </c>
      <c r="G102" s="69" t="s">
        <v>81</v>
      </c>
      <c r="H102" s="48" t="s">
        <v>82</v>
      </c>
      <c r="I102" s="47"/>
      <c r="J102" s="47"/>
      <c r="K102" s="22"/>
      <c r="L102" s="22"/>
      <c r="M102" s="22"/>
    </row>
    <row r="103" spans="1:13" ht="12.75">
      <c r="A103" s="43" t="s">
        <v>78</v>
      </c>
      <c r="B103" s="68">
        <v>3.65</v>
      </c>
      <c r="C103" s="71">
        <v>1.97</v>
      </c>
      <c r="D103" s="71">
        <v>1.37</v>
      </c>
      <c r="E103" s="71">
        <v>1</v>
      </c>
      <c r="F103" s="71">
        <v>0.82</v>
      </c>
      <c r="G103" s="69" t="s">
        <v>81</v>
      </c>
      <c r="H103" s="22" t="s">
        <v>83</v>
      </c>
      <c r="I103" s="22"/>
      <c r="J103" s="22"/>
      <c r="K103" s="52"/>
      <c r="L103" s="52"/>
      <c r="M103" s="52"/>
    </row>
    <row r="104" spans="1:13" ht="12.75">
      <c r="A104" s="22" t="s">
        <v>79</v>
      </c>
      <c r="B104" s="69">
        <v>2.39</v>
      </c>
      <c r="C104" s="72">
        <v>1.54</v>
      </c>
      <c r="D104" s="72">
        <v>1.21</v>
      </c>
      <c r="E104" s="72">
        <v>1</v>
      </c>
      <c r="F104" s="72">
        <v>0.87</v>
      </c>
      <c r="G104" s="69" t="s">
        <v>81</v>
      </c>
      <c r="H104" s="22" t="s">
        <v>77</v>
      </c>
      <c r="I104" s="22"/>
      <c r="J104" s="22"/>
      <c r="K104" s="52"/>
      <c r="L104" s="52"/>
      <c r="M104" s="52"/>
    </row>
    <row r="107" spans="1:6" ht="12.75">
      <c r="A107" s="45"/>
      <c r="B107" s="45"/>
      <c r="C107" s="45"/>
      <c r="D107" s="45"/>
      <c r="E107" s="45"/>
      <c r="F107" s="45"/>
    </row>
    <row r="108" spans="1:6" ht="12.75">
      <c r="A108" s="45"/>
      <c r="B108" s="45"/>
      <c r="C108" s="45"/>
      <c r="D108" s="45"/>
      <c r="E108" s="45"/>
      <c r="F108" s="45"/>
    </row>
    <row r="109" spans="2:6" ht="12.75">
      <c r="B109" s="46"/>
      <c r="C109" s="46"/>
      <c r="D109" s="46"/>
      <c r="E109" s="46"/>
      <c r="F109" s="46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8" sqref="C18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39.6</v>
      </c>
    </row>
    <row r="4" spans="1:5" ht="12.7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 ht="12.75">
      <c r="A5">
        <v>1000</v>
      </c>
      <c r="B5">
        <f>B2*1000</f>
        <v>39600</v>
      </c>
      <c r="C5">
        <f>B5/12</f>
        <v>3300</v>
      </c>
      <c r="D5">
        <f>C5/5280</f>
        <v>0.625</v>
      </c>
      <c r="E5">
        <f>D5*60</f>
        <v>37.5</v>
      </c>
    </row>
    <row r="6" spans="1:5" ht="12.75">
      <c r="A6">
        <v>50</v>
      </c>
      <c r="B6">
        <f>B2*A6</f>
        <v>1980</v>
      </c>
      <c r="C6">
        <f>B6/12</f>
        <v>165</v>
      </c>
      <c r="D6">
        <f>C6/5280</f>
        <v>0.03125</v>
      </c>
      <c r="E6">
        <f>D6*60</f>
        <v>1.875</v>
      </c>
    </row>
    <row r="12" spans="3:4" ht="12.75">
      <c r="C12">
        <v>25</v>
      </c>
      <c r="D12">
        <f aca="true" t="shared" si="0" ref="D12:D17">C12/0.625</f>
        <v>40</v>
      </c>
    </row>
    <row r="13" spans="3:4" ht="12.75">
      <c r="C13">
        <v>35</v>
      </c>
      <c r="D13">
        <f t="shared" si="0"/>
        <v>56</v>
      </c>
    </row>
    <row r="14" spans="3:4" ht="12.75">
      <c r="C14">
        <v>55</v>
      </c>
      <c r="D14">
        <f t="shared" si="0"/>
        <v>88</v>
      </c>
    </row>
    <row r="15" spans="3:4" ht="12.75">
      <c r="C15">
        <v>65</v>
      </c>
      <c r="D15">
        <f t="shared" si="0"/>
        <v>104</v>
      </c>
    </row>
    <row r="16" spans="3:4" ht="12.75">
      <c r="C16">
        <v>75</v>
      </c>
      <c r="D16">
        <f t="shared" si="0"/>
        <v>120</v>
      </c>
    </row>
    <row r="17" spans="3:4" ht="12.75">
      <c r="C17">
        <v>45</v>
      </c>
      <c r="D17">
        <f t="shared" si="0"/>
        <v>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Lee</cp:lastModifiedBy>
  <dcterms:created xsi:type="dcterms:W3CDTF">2001-12-17T18:29:15Z</dcterms:created>
  <dcterms:modified xsi:type="dcterms:W3CDTF">2005-11-14T07:54:22Z</dcterms:modified>
  <cp:category/>
  <cp:version/>
  <cp:contentType/>
  <cp:contentStatus/>
</cp:coreProperties>
</file>